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C:\Users\de01dwc\Desktop\"/>
    </mc:Choice>
  </mc:AlternateContent>
  <xr:revisionPtr revIDLastSave="0" documentId="13_ncr:1_{4DFA504F-48EE-4062-B573-D488BB5101C7}" xr6:coauthVersionLast="45" xr6:coauthVersionMax="45" xr10:uidLastSave="{00000000-0000-0000-0000-000000000000}"/>
  <workbookProtection workbookAlgorithmName="SHA-512" workbookHashValue="sY89Fi7nO4Xrx3N7Q4vsHbNWkrwbbdBKhON7Rz3pKvQIdjHUiwn4XsdEgciNm2vLNgtsQ5GbdPmRSS5Ml+50ZA==" workbookSaltValue="aTHu75yRqCTKXjJtO+UMdg==" workbookSpinCount="100000" lockStructure="1"/>
  <bookViews>
    <workbookView xWindow="-120" yWindow="-120" windowWidth="29040" windowHeight="15840" firstSheet="2" activeTab="2" xr2:uid="{536778CD-FCA1-4E1E-99D0-2EB5B00A4833}"/>
  </bookViews>
  <sheets>
    <sheet name="lookup" sheetId="1" state="veryHidden" r:id="rId1"/>
    <sheet name="setup" sheetId="2" state="hidden" r:id="rId2"/>
    <sheet name="Summary" sheetId="4" r:id="rId3"/>
    <sheet name="Invoice" sheetId="3" r:id="rId4"/>
    <sheet name="EMP" sheetId="45" r:id="rId5"/>
    <sheet name="ED and CD" sheetId="47" r:id="rId6"/>
    <sheet name="II and AB" sheetId="48" r:id="rId7"/>
    <sheet name="Housing" sheetId="49" r:id="rId8"/>
    <sheet name="H and S BD" sheetId="50" r:id="rId9"/>
    <sheet name="CE and CI" sheetId="51" r:id="rId10"/>
    <sheet name="SSMD" sheetId="52" r:id="rId11"/>
    <sheet name="Linkages" sheetId="53" r:id="rId12"/>
    <sheet name="ACB" sheetId="54" r:id="rId13"/>
    <sheet name="Other" sheetId="46" r:id="rId14"/>
    <sheet name="TACA" sheetId="55" r:id="rId15"/>
    <sheet name="Salary" sheetId="34" r:id="rId16"/>
    <sheet name="Travel" sheetId="57" r:id="rId17"/>
    <sheet name="Justification" sheetId="56" r:id="rId18"/>
  </sheets>
  <definedNames>
    <definedName name="_xlnm._FilterDatabase" localSheetId="15" hidden="1">Salary!$B$11:$I$112</definedName>
    <definedName name="_xlnm._FilterDatabase" localSheetId="16" hidden="1">Travel!$B$9:$J$33</definedName>
    <definedName name="budgetCurrent">setup!$C$34:$L$48</definedName>
    <definedName name="budgetRollover">setup!$C$56:$L$70</definedName>
    <definedName name="CarryoverFinal">Summary!$F$6</definedName>
    <definedName name="Categories">lookup!$D$19:$D$33</definedName>
    <definedName name="ContractType">setup!$C$22</definedName>
    <definedName name="CurrentContractNumber">setup!$C$25</definedName>
    <definedName name="CurrentFinal">Summary!$F$5</definedName>
    <definedName name="Domains">lookup!$B$3:$D$12</definedName>
    <definedName name="EdisonID">setup!$C$9</definedName>
    <definedName name="FFY">setup!$C$4</definedName>
    <definedName name="IndexMonth">MATCH(Summary!$B$5,luMonths,0)</definedName>
    <definedName name="InvoiceEOM">DATE(YEAR(InvoiceMonth),MONTH(InvoiceMonth)+1,0)</definedName>
    <definedName name="InvoiceMonth">INDEX(luDates,IndexMonth)</definedName>
    <definedName name="InvoiceNumber">setup!#REF!</definedName>
    <definedName name="luDates">lookup!$F$3:$Q$3</definedName>
    <definedName name="luMonths">lookup!$F$2:$Q$2</definedName>
    <definedName name="_xlnm.Print_Area" localSheetId="15">salary_print_area</definedName>
    <definedName name="_xlnm.Print_Area" localSheetId="16">Travel!$B:$J</definedName>
    <definedName name="_xlnm.Print_Titles" localSheetId="3">Invoice!$1:$3</definedName>
    <definedName name="_xlnm.Print_Titles" localSheetId="15">Salary!$11:$11</definedName>
    <definedName name="Program">setup!$C$23</definedName>
    <definedName name="RolloverContractNumber">setup!$C$26</definedName>
    <definedName name="salary_print_area">Salary!$J$1:INDEX(Salary!$A:$A,COUNTA(Salary!$B$12:$B$112)+11)</definedName>
    <definedName name="summaryDomain">Summary!D1048554:INDEX(Summary!D1048564:O1048564,IndexMonth)</definedName>
    <definedName name="TACA_ERROR">AND(TACA_OWNER,TACA!$K$5&gt;TACA!$E$5)</definedName>
    <definedName name="TACA_OWNER">OR(setup!$L$31&gt;0,setup!$L$53&gt;0)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14" i="4" l="1"/>
  <c r="U14" i="4"/>
  <c r="T14" i="4"/>
  <c r="S14" i="4"/>
  <c r="R14" i="4"/>
  <c r="Q14" i="4"/>
  <c r="P14" i="4"/>
  <c r="O14" i="4"/>
  <c r="N14" i="4"/>
  <c r="M14" i="4"/>
  <c r="L14" i="4"/>
  <c r="V13" i="4"/>
  <c r="U13" i="4"/>
  <c r="T13" i="4"/>
  <c r="S13" i="4"/>
  <c r="R13" i="4"/>
  <c r="Q13" i="4"/>
  <c r="P13" i="4"/>
  <c r="O13" i="4"/>
  <c r="N13" i="4"/>
  <c r="M13" i="4"/>
  <c r="L13" i="4"/>
  <c r="V12" i="4"/>
  <c r="U12" i="4"/>
  <c r="T12" i="4"/>
  <c r="S12" i="4"/>
  <c r="R12" i="4"/>
  <c r="Q12" i="4"/>
  <c r="P12" i="4"/>
  <c r="O12" i="4"/>
  <c r="N12" i="4"/>
  <c r="M12" i="4"/>
  <c r="L12" i="4"/>
  <c r="V11" i="4"/>
  <c r="U11" i="4"/>
  <c r="T11" i="4"/>
  <c r="S11" i="4"/>
  <c r="R11" i="4"/>
  <c r="Q11" i="4"/>
  <c r="P11" i="4"/>
  <c r="O11" i="4"/>
  <c r="N11" i="4"/>
  <c r="M11" i="4"/>
  <c r="L11" i="4"/>
  <c r="V10" i="4"/>
  <c r="U10" i="4"/>
  <c r="T10" i="4"/>
  <c r="S10" i="4"/>
  <c r="R10" i="4"/>
  <c r="Q10" i="4"/>
  <c r="P10" i="4"/>
  <c r="O10" i="4"/>
  <c r="N10" i="4"/>
  <c r="M10" i="4"/>
  <c r="L10" i="4"/>
  <c r="V9" i="4"/>
  <c r="U9" i="4"/>
  <c r="T9" i="4"/>
  <c r="S9" i="4"/>
  <c r="R9" i="4"/>
  <c r="Q9" i="4"/>
  <c r="P9" i="4"/>
  <c r="O9" i="4"/>
  <c r="N9" i="4"/>
  <c r="M9" i="4"/>
  <c r="L9" i="4"/>
  <c r="V8" i="4"/>
  <c r="U8" i="4"/>
  <c r="T8" i="4"/>
  <c r="S8" i="4"/>
  <c r="R8" i="4"/>
  <c r="Q8" i="4"/>
  <c r="P8" i="4"/>
  <c r="O8" i="4"/>
  <c r="N8" i="4"/>
  <c r="M8" i="4"/>
  <c r="L8" i="4"/>
  <c r="V7" i="4"/>
  <c r="U7" i="4"/>
  <c r="T7" i="4"/>
  <c r="S7" i="4"/>
  <c r="R7" i="4"/>
  <c r="Q7" i="4"/>
  <c r="P7" i="4"/>
  <c r="O7" i="4"/>
  <c r="N7" i="4"/>
  <c r="M7" i="4"/>
  <c r="L7" i="4"/>
  <c r="V6" i="4"/>
  <c r="U6" i="4"/>
  <c r="T6" i="4"/>
  <c r="S6" i="4"/>
  <c r="R6" i="4"/>
  <c r="Q6" i="4"/>
  <c r="P6" i="4"/>
  <c r="O6" i="4"/>
  <c r="N6" i="4"/>
  <c r="M6" i="4"/>
  <c r="L6" i="4"/>
  <c r="V5" i="4"/>
  <c r="U5" i="4"/>
  <c r="T5" i="4"/>
  <c r="S5" i="4"/>
  <c r="R5" i="4"/>
  <c r="Q5" i="4"/>
  <c r="P5" i="4"/>
  <c r="O5" i="4"/>
  <c r="N5" i="4"/>
  <c r="M5" i="4"/>
  <c r="L5" i="4"/>
  <c r="K14" i="4"/>
  <c r="K13" i="4"/>
  <c r="K12" i="4"/>
  <c r="K11" i="4"/>
  <c r="K10" i="4"/>
  <c r="K9" i="4"/>
  <c r="K8" i="4"/>
  <c r="K7" i="4"/>
  <c r="K6" i="4"/>
  <c r="K5" i="4"/>
  <c r="E6" i="4"/>
  <c r="E5" i="4"/>
  <c r="D2" i="4" a="1"/>
  <c r="D2" i="4" s="1"/>
  <c r="F6" i="1" l="1"/>
  <c r="J5" i="4" a="1"/>
  <c r="J5" i="4" s="1"/>
  <c r="J12" i="4" l="1"/>
  <c r="J11" i="4"/>
  <c r="J10" i="4"/>
  <c r="J14" i="4"/>
  <c r="J13" i="4"/>
  <c r="J9" i="4"/>
  <c r="J8" i="4"/>
  <c r="J7" i="4"/>
  <c r="J6" i="4"/>
  <c r="I35" i="57"/>
  <c r="I10" i="57"/>
  <c r="I36" i="57" s="1"/>
  <c r="I32" i="57"/>
  <c r="I31" i="57"/>
  <c r="I30" i="57"/>
  <c r="I29" i="57"/>
  <c r="I28" i="57"/>
  <c r="I27" i="57"/>
  <c r="I26" i="57"/>
  <c r="I25" i="57"/>
  <c r="I24" i="57"/>
  <c r="I23" i="57"/>
  <c r="I22" i="57"/>
  <c r="I21" i="57"/>
  <c r="I20" i="57"/>
  <c r="I19" i="57"/>
  <c r="I18" i="57"/>
  <c r="I17" i="57"/>
  <c r="I16" i="57"/>
  <c r="I15" i="57"/>
  <c r="I14" i="57"/>
  <c r="I13" i="57"/>
  <c r="I12" i="57"/>
  <c r="I11" i="57"/>
  <c r="Q6" i="1" l="1"/>
  <c r="P6" i="1"/>
  <c r="O6" i="1"/>
  <c r="N6" i="1"/>
  <c r="M6" i="1"/>
  <c r="L6" i="1"/>
  <c r="K6" i="1"/>
  <c r="J6" i="1"/>
  <c r="I6" i="1"/>
  <c r="H6" i="1"/>
  <c r="G6" i="1"/>
  <c r="I33" i="57"/>
  <c r="I37" i="57" s="1"/>
  <c r="J3" i="57"/>
  <c r="C4" i="57"/>
  <c r="C3" i="57"/>
  <c r="H5" i="56" l="1" a="1"/>
  <c r="J5" i="56" s="1"/>
  <c r="E3" i="56"/>
  <c r="C4" i="56"/>
  <c r="C3" i="56"/>
  <c r="G6" i="56" a="1"/>
  <c r="G10" i="56" s="1"/>
  <c r="B66" i="46" a="1"/>
  <c r="B79" i="46" s="1"/>
  <c r="B64" i="46"/>
  <c r="B66" i="54" a="1"/>
  <c r="B74" i="54" s="1"/>
  <c r="B64" i="54"/>
  <c r="B66" i="53" a="1"/>
  <c r="B74" i="53" s="1"/>
  <c r="B64" i="53"/>
  <c r="B66" i="52" a="1"/>
  <c r="B74" i="52" s="1"/>
  <c r="B64" i="52"/>
  <c r="B66" i="51" a="1"/>
  <c r="B75" i="51" s="1"/>
  <c r="B64" i="51"/>
  <c r="B66" i="50" a="1"/>
  <c r="B80" i="50" s="1"/>
  <c r="B64" i="50"/>
  <c r="B66" i="49" a="1"/>
  <c r="B75" i="49" s="1"/>
  <c r="B64" i="49"/>
  <c r="B66" i="48" a="1"/>
  <c r="B74" i="48" s="1"/>
  <c r="B64" i="48"/>
  <c r="B66" i="47" a="1"/>
  <c r="B69" i="47" s="1"/>
  <c r="B64" i="47"/>
  <c r="I5" i="56" l="1"/>
  <c r="Q5" i="56"/>
  <c r="N5" i="56"/>
  <c r="H5" i="56"/>
  <c r="P5" i="56"/>
  <c r="O5" i="56"/>
  <c r="M5" i="56"/>
  <c r="L5" i="56"/>
  <c r="K5" i="56"/>
  <c r="G17" i="56"/>
  <c r="G14" i="56"/>
  <c r="G13" i="56"/>
  <c r="G12" i="56"/>
  <c r="G9" i="56"/>
  <c r="G20" i="56"/>
  <c r="G19" i="56"/>
  <c r="G8" i="56"/>
  <c r="G7" i="56"/>
  <c r="G6" i="56"/>
  <c r="G18" i="56"/>
  <c r="G16" i="56"/>
  <c r="G15" i="56"/>
  <c r="G11" i="56"/>
  <c r="B67" i="46"/>
  <c r="B69" i="46"/>
  <c r="B71" i="46"/>
  <c r="B73" i="46"/>
  <c r="B75" i="46"/>
  <c r="B76" i="46"/>
  <c r="B77" i="46"/>
  <c r="B80" i="46"/>
  <c r="B66" i="46"/>
  <c r="B68" i="46"/>
  <c r="B70" i="46"/>
  <c r="B72" i="46"/>
  <c r="B74" i="46"/>
  <c r="B78" i="46"/>
  <c r="B75" i="54"/>
  <c r="B76" i="54"/>
  <c r="B78" i="54"/>
  <c r="B79" i="54"/>
  <c r="B77" i="54"/>
  <c r="B80" i="54"/>
  <c r="B67" i="54"/>
  <c r="B72" i="54"/>
  <c r="B66" i="54"/>
  <c r="B68" i="54"/>
  <c r="B69" i="54"/>
  <c r="B70" i="54"/>
  <c r="B71" i="54"/>
  <c r="B73" i="54"/>
  <c r="B77" i="53"/>
  <c r="B79" i="53"/>
  <c r="B75" i="53"/>
  <c r="B76" i="53"/>
  <c r="B78" i="53"/>
  <c r="B80" i="53"/>
  <c r="B66" i="53"/>
  <c r="B69" i="53"/>
  <c r="B71" i="53"/>
  <c r="B73" i="53"/>
  <c r="B67" i="53"/>
  <c r="B68" i="53"/>
  <c r="B70" i="53"/>
  <c r="B72" i="53"/>
  <c r="B75" i="52"/>
  <c r="B76" i="52"/>
  <c r="B77" i="52"/>
  <c r="B78" i="52"/>
  <c r="B79" i="52"/>
  <c r="B80" i="52"/>
  <c r="B71" i="52"/>
  <c r="B66" i="52"/>
  <c r="B67" i="52"/>
  <c r="B68" i="52"/>
  <c r="B69" i="52"/>
  <c r="B70" i="52"/>
  <c r="B72" i="52"/>
  <c r="B73" i="52"/>
  <c r="B76" i="51"/>
  <c r="B78" i="51"/>
  <c r="B77" i="51"/>
  <c r="B79" i="51"/>
  <c r="B67" i="51"/>
  <c r="B70" i="51"/>
  <c r="B74" i="51"/>
  <c r="B80" i="51"/>
  <c r="B66" i="51"/>
  <c r="B68" i="51"/>
  <c r="B69" i="51"/>
  <c r="B71" i="51"/>
  <c r="B72" i="51"/>
  <c r="B73" i="51"/>
  <c r="B79" i="50"/>
  <c r="B78" i="50"/>
  <c r="B75" i="50"/>
  <c r="B76" i="50"/>
  <c r="B77" i="50"/>
  <c r="B72" i="50"/>
  <c r="B66" i="50"/>
  <c r="B67" i="50"/>
  <c r="B68" i="50"/>
  <c r="B69" i="50"/>
  <c r="B70" i="50"/>
  <c r="B71" i="50"/>
  <c r="B73" i="50"/>
  <c r="B74" i="50"/>
  <c r="B76" i="49"/>
  <c r="B77" i="49"/>
  <c r="B78" i="49"/>
  <c r="B79" i="49"/>
  <c r="B69" i="49"/>
  <c r="B71" i="49"/>
  <c r="B73" i="49"/>
  <c r="B74" i="49"/>
  <c r="B80" i="49"/>
  <c r="B66" i="49"/>
  <c r="B67" i="49"/>
  <c r="B68" i="49"/>
  <c r="B70" i="49"/>
  <c r="B72" i="49"/>
  <c r="B75" i="48"/>
  <c r="B76" i="48"/>
  <c r="B77" i="48"/>
  <c r="B78" i="48"/>
  <c r="B79" i="48"/>
  <c r="B80" i="48"/>
  <c r="B72" i="48"/>
  <c r="B66" i="48"/>
  <c r="B67" i="48"/>
  <c r="B68" i="48"/>
  <c r="B69" i="48"/>
  <c r="B70" i="48"/>
  <c r="B71" i="48"/>
  <c r="B73" i="48"/>
  <c r="B66" i="47"/>
  <c r="B80" i="47"/>
  <c r="B67" i="47"/>
  <c r="B68" i="47"/>
  <c r="B70" i="47"/>
  <c r="B71" i="47"/>
  <c r="B72" i="47"/>
  <c r="B73" i="47"/>
  <c r="B74" i="47"/>
  <c r="B75" i="47"/>
  <c r="B76" i="47"/>
  <c r="B77" i="47"/>
  <c r="B78" i="47"/>
  <c r="B79" i="47"/>
  <c r="B66" i="45" a="1"/>
  <c r="B73" i="45" s="1"/>
  <c r="B64" i="45"/>
  <c r="D5" i="54"/>
  <c r="C6" i="55"/>
  <c r="Q6" i="56" l="1" a="1"/>
  <c r="P6" i="56" a="1"/>
  <c r="O6" i="56" a="1"/>
  <c r="N6" i="56" a="1"/>
  <c r="M6" i="56" a="1"/>
  <c r="L6" i="56" a="1"/>
  <c r="K6" i="56" a="1"/>
  <c r="J6" i="56" a="1"/>
  <c r="I6" i="56" a="1"/>
  <c r="H6" i="56" a="1"/>
  <c r="B75" i="45"/>
  <c r="B80" i="45"/>
  <c r="B78" i="45"/>
  <c r="B74" i="45"/>
  <c r="B76" i="45"/>
  <c r="B77" i="45"/>
  <c r="B79" i="45"/>
  <c r="B70" i="45"/>
  <c r="B66" i="45"/>
  <c r="B67" i="45"/>
  <c r="B68" i="45"/>
  <c r="B69" i="45"/>
  <c r="B71" i="45"/>
  <c r="B72" i="45"/>
  <c r="B41" i="54"/>
  <c r="B4" i="54"/>
  <c r="T5" i="54" a="1"/>
  <c r="T9" i="54" s="1"/>
  <c r="S5" i="54" a="1"/>
  <c r="S10" i="54" s="1"/>
  <c r="Z19" i="54"/>
  <c r="D19" i="54"/>
  <c r="Z18" i="54"/>
  <c r="D18" i="54"/>
  <c r="Z17" i="54"/>
  <c r="D17" i="54"/>
  <c r="Z16" i="54"/>
  <c r="D16" i="54"/>
  <c r="Z15" i="54"/>
  <c r="D15" i="54"/>
  <c r="Z14" i="54"/>
  <c r="D14" i="54"/>
  <c r="Z13" i="54"/>
  <c r="D13" i="54"/>
  <c r="Z12" i="54"/>
  <c r="D12" i="54"/>
  <c r="Z11" i="54"/>
  <c r="D11" i="54"/>
  <c r="Z10" i="54"/>
  <c r="D10" i="54"/>
  <c r="Z9" i="54"/>
  <c r="D9" i="54"/>
  <c r="Z8" i="54"/>
  <c r="D8" i="54"/>
  <c r="Z7" i="54"/>
  <c r="D7" i="54"/>
  <c r="Z6" i="54"/>
  <c r="D6" i="54"/>
  <c r="Z5" i="54"/>
  <c r="W5" i="54" a="1"/>
  <c r="W6" i="54" s="1"/>
  <c r="Q7" i="56" l="1"/>
  <c r="Q12" i="56"/>
  <c r="Q11" i="56"/>
  <c r="Q19" i="56"/>
  <c r="Q18" i="56"/>
  <c r="Q13" i="56"/>
  <c r="Q16" i="56"/>
  <c r="Q15" i="56"/>
  <c r="Q10" i="56"/>
  <c r="Q8" i="56"/>
  <c r="Q9" i="56"/>
  <c r="Q6" i="56"/>
  <c r="Q17" i="56"/>
  <c r="Q14" i="56"/>
  <c r="Q20" i="56"/>
  <c r="I11" i="56"/>
  <c r="I10" i="56"/>
  <c r="I8" i="56"/>
  <c r="I7" i="56"/>
  <c r="I15" i="56"/>
  <c r="I12" i="56"/>
  <c r="I20" i="56"/>
  <c r="I19" i="56"/>
  <c r="I18" i="56"/>
  <c r="I6" i="56"/>
  <c r="I17" i="56"/>
  <c r="I16" i="56"/>
  <c r="I14" i="56"/>
  <c r="I13" i="56"/>
  <c r="I9" i="56"/>
  <c r="H12" i="56"/>
  <c r="H8" i="56"/>
  <c r="H7" i="56"/>
  <c r="H6" i="56"/>
  <c r="H19" i="56"/>
  <c r="H18" i="56"/>
  <c r="H17" i="56"/>
  <c r="H16" i="56"/>
  <c r="H20" i="56"/>
  <c r="H15" i="56"/>
  <c r="H14" i="56"/>
  <c r="H13" i="56"/>
  <c r="H9" i="56"/>
  <c r="H11" i="56"/>
  <c r="H10" i="56"/>
  <c r="J6" i="56"/>
  <c r="J16" i="56"/>
  <c r="J11" i="56"/>
  <c r="J20" i="56"/>
  <c r="J18" i="56"/>
  <c r="J8" i="56"/>
  <c r="J15" i="56"/>
  <c r="J12" i="56"/>
  <c r="J9" i="56"/>
  <c r="J19" i="56"/>
  <c r="J17" i="56"/>
  <c r="J14" i="56"/>
  <c r="J13" i="56"/>
  <c r="J10" i="56"/>
  <c r="J7" i="56"/>
  <c r="K6" i="56"/>
  <c r="K20" i="56"/>
  <c r="K18" i="56"/>
  <c r="K16" i="56"/>
  <c r="K11" i="56"/>
  <c r="K17" i="56"/>
  <c r="K9" i="56"/>
  <c r="K8" i="56"/>
  <c r="K19" i="56"/>
  <c r="K15" i="56"/>
  <c r="K13" i="56"/>
  <c r="K10" i="56"/>
  <c r="K7" i="56"/>
  <c r="K14" i="56"/>
  <c r="K12" i="56"/>
  <c r="L8" i="56"/>
  <c r="L10" i="56"/>
  <c r="L9" i="56"/>
  <c r="L11" i="56"/>
  <c r="L7" i="56"/>
  <c r="L20" i="56"/>
  <c r="L17" i="56"/>
  <c r="L15" i="56"/>
  <c r="L12" i="56"/>
  <c r="L6" i="56"/>
  <c r="L19" i="56"/>
  <c r="L18" i="56"/>
  <c r="L16" i="56"/>
  <c r="L14" i="56"/>
  <c r="L13" i="56"/>
  <c r="M11" i="56"/>
  <c r="M12" i="56"/>
  <c r="M7" i="56"/>
  <c r="M20" i="56"/>
  <c r="M16" i="56"/>
  <c r="M10" i="56"/>
  <c r="M19" i="56"/>
  <c r="M15" i="56"/>
  <c r="M18" i="56"/>
  <c r="M13" i="56"/>
  <c r="M9" i="56"/>
  <c r="M8" i="56"/>
  <c r="M6" i="56"/>
  <c r="M17" i="56"/>
  <c r="M14" i="56"/>
  <c r="N10" i="56"/>
  <c r="N20" i="56"/>
  <c r="N18" i="56"/>
  <c r="N16" i="56"/>
  <c r="N14" i="56"/>
  <c r="N12" i="56"/>
  <c r="N9" i="56"/>
  <c r="N13" i="56"/>
  <c r="N11" i="56"/>
  <c r="N15" i="56"/>
  <c r="N19" i="56"/>
  <c r="N17" i="56"/>
  <c r="N6" i="56"/>
  <c r="N8" i="56"/>
  <c r="N7" i="56"/>
  <c r="O7" i="56"/>
  <c r="O18" i="56"/>
  <c r="O16" i="56"/>
  <c r="O14" i="56"/>
  <c r="O12" i="56"/>
  <c r="O10" i="56"/>
  <c r="O19" i="56"/>
  <c r="O9" i="56"/>
  <c r="O15" i="56"/>
  <c r="O20" i="56"/>
  <c r="O8" i="56"/>
  <c r="O13" i="56"/>
  <c r="O17" i="56"/>
  <c r="O11" i="56"/>
  <c r="O6" i="56"/>
  <c r="P9" i="56"/>
  <c r="P15" i="56"/>
  <c r="P13" i="56"/>
  <c r="P11" i="56"/>
  <c r="P8" i="56"/>
  <c r="P6" i="56"/>
  <c r="P20" i="56"/>
  <c r="P16" i="56"/>
  <c r="P7" i="56"/>
  <c r="P14" i="56"/>
  <c r="P12" i="56"/>
  <c r="P10" i="56"/>
  <c r="P17" i="56"/>
  <c r="P19" i="56"/>
  <c r="P18" i="56"/>
  <c r="Y9" i="54"/>
  <c r="T5" i="54"/>
  <c r="T6" i="54"/>
  <c r="Y6" i="54" s="1"/>
  <c r="T8" i="54"/>
  <c r="Y8" i="54" s="1"/>
  <c r="T7" i="54"/>
  <c r="T19" i="54"/>
  <c r="Y19" i="54" s="1"/>
  <c r="T18" i="54"/>
  <c r="Y18" i="54" s="1"/>
  <c r="T17" i="54"/>
  <c r="Y17" i="54" s="1"/>
  <c r="T16" i="54"/>
  <c r="Y16" i="54" s="1"/>
  <c r="T15" i="54"/>
  <c r="Y15" i="54" s="1"/>
  <c r="T14" i="54"/>
  <c r="Y14" i="54" s="1"/>
  <c r="T13" i="54"/>
  <c r="T12" i="54"/>
  <c r="Y12" i="54" s="1"/>
  <c r="T11" i="54"/>
  <c r="T10" i="54"/>
  <c r="Y10" i="54" s="1"/>
  <c r="S9" i="54"/>
  <c r="S6" i="54"/>
  <c r="S8" i="54"/>
  <c r="S7" i="54"/>
  <c r="S5" i="54"/>
  <c r="S19" i="54"/>
  <c r="S18" i="54"/>
  <c r="S17" i="54"/>
  <c r="S16" i="54"/>
  <c r="S15" i="54"/>
  <c r="S14" i="54"/>
  <c r="S13" i="54"/>
  <c r="S12" i="54"/>
  <c r="S11" i="54"/>
  <c r="D20" i="54"/>
  <c r="W10" i="54"/>
  <c r="W11" i="54"/>
  <c r="W12" i="54"/>
  <c r="W13" i="54"/>
  <c r="W7" i="54"/>
  <c r="W9" i="54"/>
  <c r="W14" i="54"/>
  <c r="W8" i="54"/>
  <c r="W16" i="54"/>
  <c r="W17" i="54"/>
  <c r="W15" i="54"/>
  <c r="W18" i="54"/>
  <c r="W19" i="54"/>
  <c r="W5" i="54"/>
  <c r="B23" i="54"/>
  <c r="D5" i="55"/>
  <c r="T11" i="55" s="1"/>
  <c r="T32" i="55" s="1"/>
  <c r="C5" i="55"/>
  <c r="S46" i="55"/>
  <c r="S44" i="55"/>
  <c r="S32" i="55"/>
  <c r="S32" i="55" a="1"/>
  <c r="S43" i="55" s="1"/>
  <c r="P24" i="55"/>
  <c r="P15" i="55"/>
  <c r="D26" i="55"/>
  <c r="L15" i="4" s="1"/>
  <c r="E26" i="55"/>
  <c r="M15" i="4" s="1"/>
  <c r="P25" i="55"/>
  <c r="P22" i="55"/>
  <c r="P21" i="55"/>
  <c r="P20" i="55"/>
  <c r="P19" i="55"/>
  <c r="P12" i="55"/>
  <c r="P18" i="55"/>
  <c r="P14" i="55"/>
  <c r="P13" i="55"/>
  <c r="P17" i="55"/>
  <c r="S11" i="55" a="1"/>
  <c r="S11" i="55" s="1"/>
  <c r="N26" i="55"/>
  <c r="V15" i="4" s="1"/>
  <c r="M26" i="55"/>
  <c r="U15" i="4" s="1"/>
  <c r="L26" i="55"/>
  <c r="T15" i="4" s="1"/>
  <c r="K26" i="55"/>
  <c r="S15" i="4" s="1"/>
  <c r="J26" i="55"/>
  <c r="R15" i="4" s="1"/>
  <c r="I26" i="55"/>
  <c r="Q15" i="4" s="1"/>
  <c r="H26" i="55"/>
  <c r="P15" i="4" s="1"/>
  <c r="G26" i="55"/>
  <c r="O15" i="4" s="1"/>
  <c r="F26" i="55"/>
  <c r="N15" i="4" s="1"/>
  <c r="P16" i="55"/>
  <c r="B11" i="55" a="1"/>
  <c r="B20" i="55" s="1"/>
  <c r="B51" i="2"/>
  <c r="B29" i="2"/>
  <c r="N61" i="54"/>
  <c r="M61" i="54"/>
  <c r="L61" i="54"/>
  <c r="K61" i="54"/>
  <c r="J61" i="54"/>
  <c r="I61" i="54"/>
  <c r="H61" i="54"/>
  <c r="G61" i="54"/>
  <c r="F61" i="54"/>
  <c r="E61" i="54"/>
  <c r="D61" i="54"/>
  <c r="C61" i="54"/>
  <c r="P60" i="54"/>
  <c r="P59" i="54"/>
  <c r="P58" i="54"/>
  <c r="P57" i="54"/>
  <c r="P56" i="54"/>
  <c r="P55" i="54"/>
  <c r="P54" i="54"/>
  <c r="P53" i="54"/>
  <c r="P52" i="54"/>
  <c r="P51" i="54"/>
  <c r="P50" i="54"/>
  <c r="P49" i="54"/>
  <c r="P48" i="54"/>
  <c r="P47" i="54"/>
  <c r="P46" i="54"/>
  <c r="B46" i="54" a="1"/>
  <c r="B56" i="54" s="1"/>
  <c r="N41" i="54"/>
  <c r="M41" i="54"/>
  <c r="L41" i="54"/>
  <c r="K41" i="54"/>
  <c r="J41" i="54"/>
  <c r="I41" i="54"/>
  <c r="H41" i="54"/>
  <c r="G41" i="54"/>
  <c r="F41" i="54"/>
  <c r="E41" i="54"/>
  <c r="D41" i="54"/>
  <c r="C41" i="54"/>
  <c r="P40" i="54"/>
  <c r="P39" i="54"/>
  <c r="P38" i="54"/>
  <c r="P37" i="54"/>
  <c r="P36" i="54"/>
  <c r="P35" i="54"/>
  <c r="P34" i="54"/>
  <c r="P33" i="54"/>
  <c r="P32" i="54"/>
  <c r="P31" i="54"/>
  <c r="P30" i="54"/>
  <c r="P29" i="54"/>
  <c r="P28" i="54"/>
  <c r="P27" i="54"/>
  <c r="P26" i="54"/>
  <c r="B26" i="54" a="1"/>
  <c r="B33" i="54" s="1"/>
  <c r="B5" i="54" a="1"/>
  <c r="B12" i="54" s="1"/>
  <c r="B1" i="54"/>
  <c r="N61" i="53"/>
  <c r="M61" i="53"/>
  <c r="L61" i="53"/>
  <c r="K61" i="53"/>
  <c r="J61" i="53"/>
  <c r="I61" i="53"/>
  <c r="H61" i="53"/>
  <c r="G61" i="53"/>
  <c r="F61" i="53"/>
  <c r="E61" i="53"/>
  <c r="D61" i="53"/>
  <c r="C61" i="53"/>
  <c r="P60" i="53"/>
  <c r="P59" i="53"/>
  <c r="P58" i="53"/>
  <c r="P57" i="53"/>
  <c r="P56" i="53"/>
  <c r="P55" i="53"/>
  <c r="P54" i="53"/>
  <c r="P53" i="53"/>
  <c r="P52" i="53"/>
  <c r="P51" i="53"/>
  <c r="P50" i="53"/>
  <c r="P49" i="53"/>
  <c r="P48" i="53"/>
  <c r="P47" i="53"/>
  <c r="P46" i="53"/>
  <c r="B46" i="53" a="1"/>
  <c r="B56" i="53" s="1"/>
  <c r="N41" i="53"/>
  <c r="M41" i="53"/>
  <c r="L41" i="53"/>
  <c r="K41" i="53"/>
  <c r="J41" i="53"/>
  <c r="I41" i="53"/>
  <c r="H41" i="53"/>
  <c r="G41" i="53"/>
  <c r="F41" i="53"/>
  <c r="E41" i="53"/>
  <c r="D41" i="53"/>
  <c r="C41" i="53"/>
  <c r="P40" i="53"/>
  <c r="P39" i="53"/>
  <c r="P38" i="53"/>
  <c r="P37" i="53"/>
  <c r="P36" i="53"/>
  <c r="P35" i="53"/>
  <c r="P34" i="53"/>
  <c r="P33" i="53"/>
  <c r="P32" i="53"/>
  <c r="P31" i="53"/>
  <c r="P30" i="53"/>
  <c r="P29" i="53"/>
  <c r="P28" i="53"/>
  <c r="P27" i="53"/>
  <c r="P26" i="53"/>
  <c r="B26" i="53" a="1"/>
  <c r="B33" i="53" s="1"/>
  <c r="L19" i="53"/>
  <c r="D19" i="53"/>
  <c r="L18" i="53"/>
  <c r="D18" i="53"/>
  <c r="L17" i="53"/>
  <c r="D17" i="53"/>
  <c r="L16" i="53"/>
  <c r="D16" i="53"/>
  <c r="L15" i="53"/>
  <c r="D15" i="53"/>
  <c r="L14" i="53"/>
  <c r="D14" i="53"/>
  <c r="L13" i="53"/>
  <c r="D13" i="53"/>
  <c r="L12" i="53"/>
  <c r="D12" i="53"/>
  <c r="L11" i="53"/>
  <c r="D11" i="53"/>
  <c r="L10" i="53"/>
  <c r="D10" i="53"/>
  <c r="L9" i="53"/>
  <c r="D9" i="53"/>
  <c r="L8" i="53"/>
  <c r="D8" i="53"/>
  <c r="L7" i="53"/>
  <c r="D7" i="53"/>
  <c r="L6" i="53"/>
  <c r="D6" i="53"/>
  <c r="L5" i="53"/>
  <c r="I5" i="53" a="1"/>
  <c r="I8" i="53" s="1"/>
  <c r="E5" i="53" a="1"/>
  <c r="E9" i="53" s="1"/>
  <c r="D5" i="53"/>
  <c r="C5" i="53" a="1"/>
  <c r="C12" i="53" s="1"/>
  <c r="B18" i="53"/>
  <c r="B17" i="53"/>
  <c r="B9" i="53"/>
  <c r="B8" i="53"/>
  <c r="B5" i="53" a="1"/>
  <c r="B12" i="53" s="1"/>
  <c r="B1" i="53"/>
  <c r="N61" i="52"/>
  <c r="M61" i="52"/>
  <c r="L61" i="52"/>
  <c r="K61" i="52"/>
  <c r="J61" i="52"/>
  <c r="I61" i="52"/>
  <c r="H61" i="52"/>
  <c r="G61" i="52"/>
  <c r="F61" i="52"/>
  <c r="E61" i="52"/>
  <c r="D61" i="52"/>
  <c r="C61" i="52"/>
  <c r="P60" i="52"/>
  <c r="P59" i="52"/>
  <c r="P58" i="52"/>
  <c r="P57" i="52"/>
  <c r="P56" i="52"/>
  <c r="P55" i="52"/>
  <c r="P54" i="52"/>
  <c r="P53" i="52"/>
  <c r="P52" i="52"/>
  <c r="P51" i="52"/>
  <c r="P50" i="52"/>
  <c r="P49" i="52"/>
  <c r="P48" i="52"/>
  <c r="P47" i="52"/>
  <c r="P46" i="52"/>
  <c r="B46" i="52" a="1"/>
  <c r="B56" i="52" s="1"/>
  <c r="N41" i="52"/>
  <c r="M41" i="52"/>
  <c r="L41" i="52"/>
  <c r="K41" i="52"/>
  <c r="J41" i="52"/>
  <c r="I41" i="52"/>
  <c r="H41" i="52"/>
  <c r="G41" i="52"/>
  <c r="F41" i="52"/>
  <c r="E41" i="52"/>
  <c r="D41" i="52"/>
  <c r="C41" i="52"/>
  <c r="P40" i="52"/>
  <c r="P39" i="52"/>
  <c r="P38" i="52"/>
  <c r="P37" i="52"/>
  <c r="P36" i="52"/>
  <c r="P35" i="52"/>
  <c r="P34" i="52"/>
  <c r="P33" i="52"/>
  <c r="P32" i="52"/>
  <c r="P31" i="52"/>
  <c r="P30" i="52"/>
  <c r="P29" i="52"/>
  <c r="P28" i="52"/>
  <c r="P27" i="52"/>
  <c r="P26" i="52"/>
  <c r="B26" i="52" a="1"/>
  <c r="B33" i="52" s="1"/>
  <c r="L19" i="52"/>
  <c r="D19" i="52"/>
  <c r="L18" i="52"/>
  <c r="D18" i="52"/>
  <c r="L17" i="52"/>
  <c r="D17" i="52"/>
  <c r="L16" i="52"/>
  <c r="D16" i="52"/>
  <c r="L15" i="52"/>
  <c r="D15" i="52"/>
  <c r="L14" i="52"/>
  <c r="D14" i="52"/>
  <c r="L13" i="52"/>
  <c r="D13" i="52"/>
  <c r="L12" i="52"/>
  <c r="D12" i="52"/>
  <c r="L11" i="52"/>
  <c r="D11" i="52"/>
  <c r="L10" i="52"/>
  <c r="D10" i="52"/>
  <c r="L9" i="52"/>
  <c r="D9" i="52"/>
  <c r="L8" i="52"/>
  <c r="D8" i="52"/>
  <c r="L7" i="52"/>
  <c r="D7" i="52"/>
  <c r="L6" i="52"/>
  <c r="D6" i="52"/>
  <c r="L5" i="52"/>
  <c r="I5" i="52" a="1"/>
  <c r="I8" i="52" s="1"/>
  <c r="E5" i="52" a="1"/>
  <c r="E11" i="52" s="1"/>
  <c r="D5" i="52"/>
  <c r="C5" i="52" a="1"/>
  <c r="C12" i="52" s="1"/>
  <c r="B5" i="52" a="1"/>
  <c r="B12" i="52" s="1"/>
  <c r="B1" i="52"/>
  <c r="N61" i="51"/>
  <c r="M61" i="51"/>
  <c r="L61" i="51"/>
  <c r="K61" i="51"/>
  <c r="J61" i="51"/>
  <c r="I61" i="51"/>
  <c r="H61" i="51"/>
  <c r="G61" i="51"/>
  <c r="F61" i="51"/>
  <c r="E61" i="51"/>
  <c r="D61" i="51"/>
  <c r="C61" i="51"/>
  <c r="P60" i="51"/>
  <c r="P59" i="51"/>
  <c r="P58" i="51"/>
  <c r="P57" i="51"/>
  <c r="P56" i="51"/>
  <c r="P55" i="51"/>
  <c r="P54" i="51"/>
  <c r="P53" i="51"/>
  <c r="P52" i="51"/>
  <c r="P51" i="51"/>
  <c r="P50" i="51"/>
  <c r="P49" i="51"/>
  <c r="P48" i="51"/>
  <c r="P47" i="51"/>
  <c r="P46" i="51"/>
  <c r="B46" i="51" a="1"/>
  <c r="B56" i="51" s="1"/>
  <c r="N41" i="51"/>
  <c r="M41" i="51"/>
  <c r="L41" i="51"/>
  <c r="K41" i="51"/>
  <c r="J41" i="51"/>
  <c r="I41" i="51"/>
  <c r="H41" i="51"/>
  <c r="G41" i="51"/>
  <c r="F41" i="51"/>
  <c r="E41" i="51"/>
  <c r="D41" i="51"/>
  <c r="C41" i="51"/>
  <c r="P40" i="51"/>
  <c r="P39" i="51"/>
  <c r="P38" i="51"/>
  <c r="P37" i="51"/>
  <c r="P36" i="51"/>
  <c r="P35" i="51"/>
  <c r="P34" i="51"/>
  <c r="P33" i="51"/>
  <c r="P32" i="51"/>
  <c r="P31" i="51"/>
  <c r="P30" i="51"/>
  <c r="P29" i="51"/>
  <c r="P28" i="51"/>
  <c r="P27" i="51"/>
  <c r="P26" i="51"/>
  <c r="B26" i="51" a="1"/>
  <c r="B33" i="51" s="1"/>
  <c r="L19" i="51"/>
  <c r="D19" i="51"/>
  <c r="L18" i="51"/>
  <c r="D18" i="51"/>
  <c r="L17" i="51"/>
  <c r="D17" i="51"/>
  <c r="L16" i="51"/>
  <c r="D16" i="51"/>
  <c r="L15" i="51"/>
  <c r="D15" i="51"/>
  <c r="L14" i="51"/>
  <c r="D14" i="51"/>
  <c r="L13" i="51"/>
  <c r="D13" i="51"/>
  <c r="L12" i="51"/>
  <c r="D12" i="51"/>
  <c r="L11" i="51"/>
  <c r="D11" i="51"/>
  <c r="L10" i="51"/>
  <c r="D10" i="51"/>
  <c r="L9" i="51"/>
  <c r="D9" i="51"/>
  <c r="L8" i="51"/>
  <c r="D8" i="51"/>
  <c r="L7" i="51"/>
  <c r="D7" i="51"/>
  <c r="L6" i="51"/>
  <c r="D6" i="51"/>
  <c r="L5" i="51"/>
  <c r="I5" i="51" a="1"/>
  <c r="I8" i="51" s="1"/>
  <c r="E5" i="51" a="1"/>
  <c r="E6" i="51" s="1"/>
  <c r="D5" i="51"/>
  <c r="C5" i="51" a="1"/>
  <c r="C12" i="51" s="1"/>
  <c r="B5" i="51" a="1"/>
  <c r="B12" i="51" s="1"/>
  <c r="B1" i="51"/>
  <c r="N61" i="50"/>
  <c r="M61" i="50"/>
  <c r="L61" i="50"/>
  <c r="K61" i="50"/>
  <c r="J61" i="50"/>
  <c r="I61" i="50"/>
  <c r="H61" i="50"/>
  <c r="G61" i="50"/>
  <c r="F61" i="50"/>
  <c r="E61" i="50"/>
  <c r="D61" i="50"/>
  <c r="C61" i="50"/>
  <c r="P60" i="50"/>
  <c r="P59" i="50"/>
  <c r="P58" i="50"/>
  <c r="P57" i="50"/>
  <c r="P56" i="50"/>
  <c r="P55" i="50"/>
  <c r="P54" i="50"/>
  <c r="P53" i="50"/>
  <c r="P52" i="50"/>
  <c r="P51" i="50"/>
  <c r="P50" i="50"/>
  <c r="P49" i="50"/>
  <c r="P48" i="50"/>
  <c r="P47" i="50"/>
  <c r="P46" i="50"/>
  <c r="B46" i="50" a="1"/>
  <c r="B53" i="50" s="1"/>
  <c r="N41" i="50"/>
  <c r="M41" i="50"/>
  <c r="L41" i="50"/>
  <c r="K41" i="50"/>
  <c r="J41" i="50"/>
  <c r="I41" i="50"/>
  <c r="H41" i="50"/>
  <c r="G41" i="50"/>
  <c r="F41" i="50"/>
  <c r="E41" i="50"/>
  <c r="D41" i="50"/>
  <c r="C41" i="50"/>
  <c r="P40" i="50"/>
  <c r="P39" i="50"/>
  <c r="P38" i="50"/>
  <c r="P37" i="50"/>
  <c r="P36" i="50"/>
  <c r="P35" i="50"/>
  <c r="P34" i="50"/>
  <c r="P33" i="50"/>
  <c r="P32" i="50"/>
  <c r="P31" i="50"/>
  <c r="P30" i="50"/>
  <c r="P29" i="50"/>
  <c r="P28" i="50"/>
  <c r="P27" i="50"/>
  <c r="P26" i="50"/>
  <c r="B26" i="50" a="1"/>
  <c r="B33" i="50" s="1"/>
  <c r="L19" i="50"/>
  <c r="D19" i="50"/>
  <c r="L18" i="50"/>
  <c r="D18" i="50"/>
  <c r="L17" i="50"/>
  <c r="D17" i="50"/>
  <c r="L16" i="50"/>
  <c r="D16" i="50"/>
  <c r="L15" i="50"/>
  <c r="D15" i="50"/>
  <c r="L14" i="50"/>
  <c r="D14" i="50"/>
  <c r="L13" i="50"/>
  <c r="D13" i="50"/>
  <c r="L12" i="50"/>
  <c r="D12" i="50"/>
  <c r="L11" i="50"/>
  <c r="D11" i="50"/>
  <c r="L10" i="50"/>
  <c r="D10" i="50"/>
  <c r="L9" i="50"/>
  <c r="D9" i="50"/>
  <c r="L8" i="50"/>
  <c r="D8" i="50"/>
  <c r="L7" i="50"/>
  <c r="D7" i="50"/>
  <c r="L6" i="50"/>
  <c r="D6" i="50"/>
  <c r="L5" i="50"/>
  <c r="I5" i="50" a="1"/>
  <c r="I5" i="50" s="1"/>
  <c r="E5" i="50" a="1"/>
  <c r="E8" i="50" s="1"/>
  <c r="D5" i="50"/>
  <c r="C5" i="50" a="1"/>
  <c r="C12" i="50" s="1"/>
  <c r="B5" i="50" a="1"/>
  <c r="B12" i="50" s="1"/>
  <c r="B1" i="50"/>
  <c r="N61" i="49"/>
  <c r="M61" i="49"/>
  <c r="L61" i="49"/>
  <c r="K61" i="49"/>
  <c r="J61" i="49"/>
  <c r="I61" i="49"/>
  <c r="H61" i="49"/>
  <c r="G61" i="49"/>
  <c r="F61" i="49"/>
  <c r="E61" i="49"/>
  <c r="D61" i="49"/>
  <c r="C61" i="49"/>
  <c r="P60" i="49"/>
  <c r="P59" i="49"/>
  <c r="P58" i="49"/>
  <c r="P57" i="49"/>
  <c r="P56" i="49"/>
  <c r="P55" i="49"/>
  <c r="P54" i="49"/>
  <c r="P53" i="49"/>
  <c r="P52" i="49"/>
  <c r="P51" i="49"/>
  <c r="P50" i="49"/>
  <c r="P49" i="49"/>
  <c r="P48" i="49"/>
  <c r="P47" i="49"/>
  <c r="P46" i="49"/>
  <c r="B46" i="49" a="1"/>
  <c r="B56" i="49" s="1"/>
  <c r="N41" i="49"/>
  <c r="M41" i="49"/>
  <c r="L41" i="49"/>
  <c r="K41" i="49"/>
  <c r="J41" i="49"/>
  <c r="I41" i="49"/>
  <c r="H41" i="49"/>
  <c r="G41" i="49"/>
  <c r="F41" i="49"/>
  <c r="E41" i="49"/>
  <c r="D41" i="49"/>
  <c r="C41" i="49"/>
  <c r="P40" i="49"/>
  <c r="P39" i="49"/>
  <c r="P38" i="49"/>
  <c r="P37" i="49"/>
  <c r="P36" i="49"/>
  <c r="P35" i="49"/>
  <c r="P34" i="49"/>
  <c r="P33" i="49"/>
  <c r="P32" i="49"/>
  <c r="P31" i="49"/>
  <c r="P30" i="49"/>
  <c r="P29" i="49"/>
  <c r="P28" i="49"/>
  <c r="P27" i="49"/>
  <c r="P26" i="49"/>
  <c r="B26" i="49" a="1"/>
  <c r="B33" i="49" s="1"/>
  <c r="L19" i="49"/>
  <c r="D19" i="49"/>
  <c r="L18" i="49"/>
  <c r="D18" i="49"/>
  <c r="L17" i="49"/>
  <c r="D17" i="49"/>
  <c r="L16" i="49"/>
  <c r="D16" i="49"/>
  <c r="L15" i="49"/>
  <c r="D15" i="49"/>
  <c r="L14" i="49"/>
  <c r="D14" i="49"/>
  <c r="L13" i="49"/>
  <c r="D13" i="49"/>
  <c r="L12" i="49"/>
  <c r="D12" i="49"/>
  <c r="L11" i="49"/>
  <c r="D11" i="49"/>
  <c r="L10" i="49"/>
  <c r="D10" i="49"/>
  <c r="L9" i="49"/>
  <c r="D9" i="49"/>
  <c r="L8" i="49"/>
  <c r="D8" i="49"/>
  <c r="L7" i="49"/>
  <c r="D7" i="49"/>
  <c r="L6" i="49"/>
  <c r="D6" i="49"/>
  <c r="L5" i="49"/>
  <c r="I5" i="49" a="1"/>
  <c r="I8" i="49" s="1"/>
  <c r="E5" i="49" a="1"/>
  <c r="E11" i="49" s="1"/>
  <c r="D5" i="49"/>
  <c r="C5" i="49" a="1"/>
  <c r="C12" i="49" s="1"/>
  <c r="B5" i="49" a="1"/>
  <c r="B12" i="49" s="1"/>
  <c r="B1" i="49"/>
  <c r="N61" i="48"/>
  <c r="M61" i="48"/>
  <c r="L61" i="48"/>
  <c r="K61" i="48"/>
  <c r="J61" i="48"/>
  <c r="I61" i="48"/>
  <c r="H61" i="48"/>
  <c r="G61" i="48"/>
  <c r="F61" i="48"/>
  <c r="E61" i="48"/>
  <c r="D61" i="48"/>
  <c r="C61" i="48"/>
  <c r="P60" i="48"/>
  <c r="P59" i="48"/>
  <c r="P58" i="48"/>
  <c r="P57" i="48"/>
  <c r="P56" i="48"/>
  <c r="P55" i="48"/>
  <c r="P54" i="48"/>
  <c r="P53" i="48"/>
  <c r="P52" i="48"/>
  <c r="P51" i="48"/>
  <c r="P50" i="48"/>
  <c r="P49" i="48"/>
  <c r="P48" i="48"/>
  <c r="P47" i="48"/>
  <c r="P46" i="48"/>
  <c r="B46" i="48" a="1"/>
  <c r="B56" i="48" s="1"/>
  <c r="N41" i="48"/>
  <c r="M41" i="48"/>
  <c r="L41" i="48"/>
  <c r="K41" i="48"/>
  <c r="J41" i="48"/>
  <c r="I41" i="48"/>
  <c r="H41" i="48"/>
  <c r="G41" i="48"/>
  <c r="F41" i="48"/>
  <c r="E41" i="48"/>
  <c r="D41" i="48"/>
  <c r="C41" i="48"/>
  <c r="P40" i="48"/>
  <c r="P39" i="48"/>
  <c r="P38" i="48"/>
  <c r="P37" i="48"/>
  <c r="P36" i="48"/>
  <c r="P35" i="48"/>
  <c r="P34" i="48"/>
  <c r="P33" i="48"/>
  <c r="P32" i="48"/>
  <c r="P31" i="48"/>
  <c r="P30" i="48"/>
  <c r="P29" i="48"/>
  <c r="P28" i="48"/>
  <c r="P27" i="48"/>
  <c r="P26" i="48"/>
  <c r="B26" i="48" a="1"/>
  <c r="B33" i="48" s="1"/>
  <c r="L19" i="48"/>
  <c r="D19" i="48"/>
  <c r="L18" i="48"/>
  <c r="D18" i="48"/>
  <c r="L17" i="48"/>
  <c r="D17" i="48"/>
  <c r="L16" i="48"/>
  <c r="D16" i="48"/>
  <c r="L15" i="48"/>
  <c r="D15" i="48"/>
  <c r="L14" i="48"/>
  <c r="D14" i="48"/>
  <c r="L13" i="48"/>
  <c r="D13" i="48"/>
  <c r="L12" i="48"/>
  <c r="D12" i="48"/>
  <c r="L11" i="48"/>
  <c r="D11" i="48"/>
  <c r="L10" i="48"/>
  <c r="D10" i="48"/>
  <c r="L9" i="48"/>
  <c r="D9" i="48"/>
  <c r="L8" i="48"/>
  <c r="D8" i="48"/>
  <c r="L7" i="48"/>
  <c r="D7" i="48"/>
  <c r="L6" i="48"/>
  <c r="D6" i="48"/>
  <c r="L5" i="48"/>
  <c r="I5" i="48" a="1"/>
  <c r="I8" i="48" s="1"/>
  <c r="E5" i="48" a="1"/>
  <c r="E10" i="48" s="1"/>
  <c r="D5" i="48"/>
  <c r="C5" i="48" a="1"/>
  <c r="C12" i="48" s="1"/>
  <c r="B5" i="48" a="1"/>
  <c r="B12" i="48" s="1"/>
  <c r="B1" i="48"/>
  <c r="N61" i="47"/>
  <c r="M61" i="47"/>
  <c r="L61" i="47"/>
  <c r="K61" i="47"/>
  <c r="J61" i="47"/>
  <c r="I61" i="47"/>
  <c r="H61" i="47"/>
  <c r="G61" i="47"/>
  <c r="F61" i="47"/>
  <c r="E61" i="47"/>
  <c r="D61" i="47"/>
  <c r="C61" i="47"/>
  <c r="P60" i="47"/>
  <c r="P59" i="47"/>
  <c r="P58" i="47"/>
  <c r="P57" i="47"/>
  <c r="P56" i="47"/>
  <c r="P55" i="47"/>
  <c r="P54" i="47"/>
  <c r="P53" i="47"/>
  <c r="P52" i="47"/>
  <c r="P51" i="47"/>
  <c r="P50" i="47"/>
  <c r="P49" i="47"/>
  <c r="P48" i="47"/>
  <c r="P47" i="47"/>
  <c r="P46" i="47"/>
  <c r="B46" i="47" a="1"/>
  <c r="B54" i="47" s="1"/>
  <c r="N41" i="47"/>
  <c r="M41" i="47"/>
  <c r="L41" i="47"/>
  <c r="K41" i="47"/>
  <c r="J41" i="47"/>
  <c r="I41" i="47"/>
  <c r="H41" i="47"/>
  <c r="G41" i="47"/>
  <c r="F41" i="47"/>
  <c r="E41" i="47"/>
  <c r="D41" i="47"/>
  <c r="C41" i="47"/>
  <c r="P40" i="47"/>
  <c r="P39" i="47"/>
  <c r="P38" i="47"/>
  <c r="P37" i="47"/>
  <c r="P36" i="47"/>
  <c r="P35" i="47"/>
  <c r="P34" i="47"/>
  <c r="P33" i="47"/>
  <c r="P32" i="47"/>
  <c r="P31" i="47"/>
  <c r="P30" i="47"/>
  <c r="P29" i="47"/>
  <c r="P28" i="47"/>
  <c r="P27" i="47"/>
  <c r="P26" i="47"/>
  <c r="B26" i="47" a="1"/>
  <c r="B33" i="47" s="1"/>
  <c r="L19" i="47"/>
  <c r="D19" i="47"/>
  <c r="L18" i="47"/>
  <c r="D18" i="47"/>
  <c r="L17" i="47"/>
  <c r="D17" i="47"/>
  <c r="L16" i="47"/>
  <c r="D16" i="47"/>
  <c r="L15" i="47"/>
  <c r="D15" i="47"/>
  <c r="L14" i="47"/>
  <c r="D14" i="47"/>
  <c r="L13" i="47"/>
  <c r="D13" i="47"/>
  <c r="L12" i="47"/>
  <c r="D12" i="47"/>
  <c r="L11" i="47"/>
  <c r="D11" i="47"/>
  <c r="L10" i="47"/>
  <c r="D10" i="47"/>
  <c r="L9" i="47"/>
  <c r="D9" i="47"/>
  <c r="L8" i="47"/>
  <c r="D8" i="47"/>
  <c r="L7" i="47"/>
  <c r="D7" i="47"/>
  <c r="L6" i="47"/>
  <c r="D6" i="47"/>
  <c r="L5" i="47"/>
  <c r="I5" i="47" a="1"/>
  <c r="I6" i="47" s="1"/>
  <c r="E5" i="47" a="1"/>
  <c r="E9" i="47" s="1"/>
  <c r="D5" i="47"/>
  <c r="C5" i="47" a="1"/>
  <c r="C12" i="47" s="1"/>
  <c r="B5" i="47" a="1"/>
  <c r="B12" i="47" s="1"/>
  <c r="B1" i="47"/>
  <c r="N61" i="46"/>
  <c r="M61" i="46"/>
  <c r="L61" i="46"/>
  <c r="K61" i="46"/>
  <c r="J61" i="46"/>
  <c r="I61" i="46"/>
  <c r="H61" i="46"/>
  <c r="G61" i="46"/>
  <c r="F61" i="46"/>
  <c r="E61" i="46"/>
  <c r="D61" i="46"/>
  <c r="C61" i="46"/>
  <c r="P60" i="46"/>
  <c r="P59" i="46"/>
  <c r="P58" i="46"/>
  <c r="P57" i="46"/>
  <c r="P56" i="46"/>
  <c r="P55" i="46"/>
  <c r="P54" i="46"/>
  <c r="P53" i="46"/>
  <c r="P52" i="46"/>
  <c r="P51" i="46"/>
  <c r="P50" i="46"/>
  <c r="P49" i="46"/>
  <c r="P48" i="46"/>
  <c r="P47" i="46"/>
  <c r="P46" i="46"/>
  <c r="B46" i="46" a="1"/>
  <c r="B53" i="46" s="1"/>
  <c r="N41" i="46"/>
  <c r="M41" i="46"/>
  <c r="L41" i="46"/>
  <c r="K41" i="46"/>
  <c r="J41" i="46"/>
  <c r="I41" i="46"/>
  <c r="H41" i="46"/>
  <c r="G41" i="46"/>
  <c r="F41" i="46"/>
  <c r="E41" i="46"/>
  <c r="D41" i="46"/>
  <c r="C41" i="46"/>
  <c r="P40" i="46"/>
  <c r="P39" i="46"/>
  <c r="P38" i="46"/>
  <c r="P37" i="46"/>
  <c r="P36" i="46"/>
  <c r="P35" i="46"/>
  <c r="P34" i="46"/>
  <c r="P33" i="46"/>
  <c r="P32" i="46"/>
  <c r="P31" i="46"/>
  <c r="P30" i="46"/>
  <c r="P29" i="46"/>
  <c r="P28" i="46"/>
  <c r="P27" i="46"/>
  <c r="P26" i="46"/>
  <c r="B26" i="46" a="1"/>
  <c r="B33" i="46" s="1"/>
  <c r="L19" i="46"/>
  <c r="D19" i="46"/>
  <c r="L18" i="46"/>
  <c r="D18" i="46"/>
  <c r="L17" i="46"/>
  <c r="D17" i="46"/>
  <c r="L16" i="46"/>
  <c r="D16" i="46"/>
  <c r="L15" i="46"/>
  <c r="D15" i="46"/>
  <c r="L14" i="46"/>
  <c r="D14" i="46"/>
  <c r="L13" i="46"/>
  <c r="D13" i="46"/>
  <c r="L12" i="46"/>
  <c r="D12" i="46"/>
  <c r="L11" i="46"/>
  <c r="D11" i="46"/>
  <c r="L10" i="46"/>
  <c r="D10" i="46"/>
  <c r="L9" i="46"/>
  <c r="D9" i="46"/>
  <c r="L8" i="46"/>
  <c r="D8" i="46"/>
  <c r="L7" i="46"/>
  <c r="D7" i="46"/>
  <c r="L6" i="46"/>
  <c r="D6" i="46"/>
  <c r="L5" i="46"/>
  <c r="I5" i="46" a="1"/>
  <c r="I5" i="46" s="1"/>
  <c r="E5" i="46" a="1"/>
  <c r="E8" i="46" s="1"/>
  <c r="D5" i="46"/>
  <c r="C5" i="46" a="1"/>
  <c r="C11" i="46" s="1"/>
  <c r="B5" i="46" a="1"/>
  <c r="B9" i="46" s="1"/>
  <c r="B1" i="46"/>
  <c r="N61" i="45"/>
  <c r="M61" i="45"/>
  <c r="L61" i="45"/>
  <c r="K61" i="45"/>
  <c r="J61" i="45"/>
  <c r="I61" i="45"/>
  <c r="H61" i="45"/>
  <c r="G61" i="45"/>
  <c r="F61" i="45"/>
  <c r="E61" i="45"/>
  <c r="D61" i="45"/>
  <c r="C61" i="45"/>
  <c r="P60" i="45"/>
  <c r="P59" i="45"/>
  <c r="P58" i="45"/>
  <c r="P57" i="45"/>
  <c r="P56" i="45"/>
  <c r="P55" i="45"/>
  <c r="P54" i="45"/>
  <c r="P53" i="45"/>
  <c r="P52" i="45"/>
  <c r="P51" i="45"/>
  <c r="P50" i="45"/>
  <c r="P49" i="45"/>
  <c r="P48" i="45"/>
  <c r="P47" i="45"/>
  <c r="P46" i="45"/>
  <c r="B46" i="45" a="1"/>
  <c r="B52" i="45" s="1"/>
  <c r="N41" i="45"/>
  <c r="M41" i="45"/>
  <c r="L41" i="45"/>
  <c r="K41" i="45"/>
  <c r="J41" i="45"/>
  <c r="I41" i="45"/>
  <c r="H41" i="45"/>
  <c r="G41" i="45"/>
  <c r="F41" i="45"/>
  <c r="E41" i="45"/>
  <c r="D41" i="45"/>
  <c r="C41" i="45"/>
  <c r="P40" i="45"/>
  <c r="P39" i="45"/>
  <c r="P38" i="45"/>
  <c r="P37" i="45"/>
  <c r="P36" i="45"/>
  <c r="P35" i="45"/>
  <c r="P34" i="45"/>
  <c r="P33" i="45"/>
  <c r="P32" i="45"/>
  <c r="P31" i="45"/>
  <c r="P30" i="45"/>
  <c r="P29" i="45"/>
  <c r="P28" i="45"/>
  <c r="P27" i="45"/>
  <c r="P26" i="45"/>
  <c r="B26" i="45" a="1"/>
  <c r="B29" i="45" s="1"/>
  <c r="L19" i="45"/>
  <c r="D19" i="45"/>
  <c r="L18" i="45"/>
  <c r="D18" i="45"/>
  <c r="L17" i="45"/>
  <c r="D17" i="45"/>
  <c r="L16" i="45"/>
  <c r="D16" i="45"/>
  <c r="L15" i="45"/>
  <c r="D15" i="45"/>
  <c r="L14" i="45"/>
  <c r="D14" i="45"/>
  <c r="L13" i="45"/>
  <c r="D13" i="45"/>
  <c r="L12" i="45"/>
  <c r="D12" i="45"/>
  <c r="L11" i="45"/>
  <c r="D11" i="45"/>
  <c r="L10" i="45"/>
  <c r="D10" i="45"/>
  <c r="L9" i="45"/>
  <c r="D9" i="45"/>
  <c r="L8" i="45"/>
  <c r="D8" i="45"/>
  <c r="L7" i="45"/>
  <c r="D7" i="45"/>
  <c r="L6" i="45"/>
  <c r="D6" i="45"/>
  <c r="L5" i="45"/>
  <c r="I5" i="45" a="1"/>
  <c r="I18" i="45" s="1"/>
  <c r="E5" i="45" a="1"/>
  <c r="E7" i="45" s="1"/>
  <c r="D5" i="45"/>
  <c r="C5" i="45" a="1"/>
  <c r="C8" i="45" s="1"/>
  <c r="B5" i="45" a="1"/>
  <c r="B8" i="45" s="1"/>
  <c r="B1" i="45"/>
  <c r="S45" i="55" l="1"/>
  <c r="S33" i="55"/>
  <c r="B32" i="52"/>
  <c r="S34" i="55"/>
  <c r="B36" i="50"/>
  <c r="B37" i="52"/>
  <c r="S35" i="55"/>
  <c r="B38" i="52"/>
  <c r="B36" i="53"/>
  <c r="S41" i="55"/>
  <c r="B38" i="53"/>
  <c r="S23" i="55"/>
  <c r="S42" i="55"/>
  <c r="Y7" i="54"/>
  <c r="J22" i="56"/>
  <c r="J23" i="56" s="1"/>
  <c r="P22" i="56"/>
  <c r="P23" i="56" s="1"/>
  <c r="K22" i="56"/>
  <c r="K23" i="56" s="1"/>
  <c r="Q22" i="56"/>
  <c r="Q23" i="56" s="1"/>
  <c r="I22" i="56"/>
  <c r="I23" i="56" s="1"/>
  <c r="O22" i="56"/>
  <c r="O23" i="56" s="1"/>
  <c r="M22" i="56"/>
  <c r="M23" i="56" s="1"/>
  <c r="N22" i="56"/>
  <c r="N23" i="56" s="1"/>
  <c r="L22" i="56"/>
  <c r="L23" i="56" s="1"/>
  <c r="H22" i="56"/>
  <c r="H23" i="56" s="1"/>
  <c r="Y13" i="54"/>
  <c r="Y11" i="54"/>
  <c r="V5" i="54"/>
  <c r="T20" i="54"/>
  <c r="Y5" i="54"/>
  <c r="S20" i="54"/>
  <c r="B9" i="54"/>
  <c r="B11" i="54"/>
  <c r="B16" i="54"/>
  <c r="B15" i="54"/>
  <c r="B17" i="54"/>
  <c r="B29" i="54"/>
  <c r="B30" i="54"/>
  <c r="B32" i="54"/>
  <c r="B36" i="54"/>
  <c r="B37" i="54"/>
  <c r="B38" i="54"/>
  <c r="B8" i="54"/>
  <c r="E11" i="51"/>
  <c r="K11" i="51" s="1"/>
  <c r="N11" i="51" s="1"/>
  <c r="E17" i="51"/>
  <c r="K17" i="51" s="1"/>
  <c r="J17" i="51" s="1"/>
  <c r="E5" i="55"/>
  <c r="S36" i="55"/>
  <c r="S37" i="55"/>
  <c r="S38" i="55"/>
  <c r="S39" i="55"/>
  <c r="S40" i="55"/>
  <c r="P23" i="55"/>
  <c r="T12" i="55"/>
  <c r="C26" i="55"/>
  <c r="K15" i="4" s="1"/>
  <c r="P11" i="55"/>
  <c r="S25" i="55"/>
  <c r="S24" i="55"/>
  <c r="S22" i="55"/>
  <c r="S21" i="55"/>
  <c r="S20" i="55"/>
  <c r="S19" i="55"/>
  <c r="S18" i="55"/>
  <c r="S17" i="55"/>
  <c r="S16" i="55"/>
  <c r="S15" i="55"/>
  <c r="S14" i="55"/>
  <c r="S13" i="55"/>
  <c r="S12" i="55"/>
  <c r="B24" i="55"/>
  <c r="B23" i="55"/>
  <c r="B21" i="55"/>
  <c r="B22" i="55"/>
  <c r="B25" i="55"/>
  <c r="B11" i="55"/>
  <c r="B12" i="55"/>
  <c r="B13" i="55"/>
  <c r="B14" i="55"/>
  <c r="B15" i="55"/>
  <c r="B16" i="55"/>
  <c r="B17" i="55"/>
  <c r="B18" i="55"/>
  <c r="B19" i="55"/>
  <c r="I12" i="52"/>
  <c r="Z20" i="54"/>
  <c r="I16" i="52"/>
  <c r="D20" i="53"/>
  <c r="I14" i="53"/>
  <c r="I10" i="52"/>
  <c r="P61" i="54"/>
  <c r="P41" i="54"/>
  <c r="I9" i="52"/>
  <c r="E19" i="53"/>
  <c r="K19" i="53" s="1"/>
  <c r="N19" i="53" s="1"/>
  <c r="E16" i="52"/>
  <c r="K16" i="52" s="1"/>
  <c r="N16" i="52" s="1"/>
  <c r="E17" i="52"/>
  <c r="K17" i="52" s="1"/>
  <c r="J17" i="52" s="1"/>
  <c r="E15" i="50"/>
  <c r="K15" i="50" s="1"/>
  <c r="N15" i="50" s="1"/>
  <c r="E11" i="50"/>
  <c r="B11" i="53"/>
  <c r="E11" i="53"/>
  <c r="B13" i="54"/>
  <c r="B34" i="54"/>
  <c r="B57" i="54"/>
  <c r="I13" i="52"/>
  <c r="B30" i="52"/>
  <c r="B15" i="53"/>
  <c r="E14" i="53"/>
  <c r="K14" i="53" s="1"/>
  <c r="J14" i="53" s="1"/>
  <c r="B14" i="54"/>
  <c r="B35" i="54"/>
  <c r="B58" i="54"/>
  <c r="E16" i="53"/>
  <c r="K16" i="53" s="1"/>
  <c r="J16" i="53" s="1"/>
  <c r="B59" i="54"/>
  <c r="E17" i="53"/>
  <c r="K17" i="53" s="1"/>
  <c r="J17" i="53" s="1"/>
  <c r="B60" i="54"/>
  <c r="C8" i="53"/>
  <c r="B18" i="54"/>
  <c r="B39" i="54"/>
  <c r="B46" i="54"/>
  <c r="C9" i="53"/>
  <c r="F9" i="53" s="1"/>
  <c r="I13" i="53"/>
  <c r="B19" i="54"/>
  <c r="B40" i="54"/>
  <c r="B47" i="54"/>
  <c r="C11" i="53"/>
  <c r="B48" i="54"/>
  <c r="C15" i="53"/>
  <c r="B29" i="53"/>
  <c r="B5" i="54"/>
  <c r="B26" i="54"/>
  <c r="B49" i="54"/>
  <c r="E8" i="51"/>
  <c r="H8" i="51" s="1"/>
  <c r="G8" i="51" s="1"/>
  <c r="C17" i="53"/>
  <c r="B30" i="53"/>
  <c r="B6" i="54"/>
  <c r="B27" i="54"/>
  <c r="B50" i="54"/>
  <c r="C18" i="53"/>
  <c r="B32" i="53"/>
  <c r="P61" i="53"/>
  <c r="B7" i="54"/>
  <c r="B28" i="54"/>
  <c r="B51" i="54"/>
  <c r="B52" i="54"/>
  <c r="B53" i="54"/>
  <c r="I11" i="50"/>
  <c r="I13" i="51"/>
  <c r="B32" i="51"/>
  <c r="E7" i="53"/>
  <c r="K7" i="53" s="1"/>
  <c r="J7" i="53" s="1"/>
  <c r="B39" i="53"/>
  <c r="B10" i="54"/>
  <c r="B31" i="54"/>
  <c r="B54" i="54"/>
  <c r="I14" i="51"/>
  <c r="B38" i="51"/>
  <c r="E8" i="53"/>
  <c r="K8" i="53" s="1"/>
  <c r="P41" i="53"/>
  <c r="B55" i="54"/>
  <c r="E10" i="53"/>
  <c r="K10" i="53" s="1"/>
  <c r="K9" i="53"/>
  <c r="J9" i="53" s="1"/>
  <c r="E15" i="51"/>
  <c r="K15" i="51" s="1"/>
  <c r="J15" i="51" s="1"/>
  <c r="B11" i="52"/>
  <c r="E12" i="52"/>
  <c r="I14" i="52"/>
  <c r="B13" i="53"/>
  <c r="C13" i="53"/>
  <c r="E12" i="53"/>
  <c r="F12" i="53" s="1"/>
  <c r="I9" i="53"/>
  <c r="H9" i="53" s="1"/>
  <c r="B34" i="53"/>
  <c r="B57" i="53"/>
  <c r="B13" i="52"/>
  <c r="E13" i="52"/>
  <c r="I15" i="52"/>
  <c r="B14" i="53"/>
  <c r="C14" i="53"/>
  <c r="E13" i="53"/>
  <c r="I10" i="53"/>
  <c r="B35" i="53"/>
  <c r="B58" i="53"/>
  <c r="B16" i="52"/>
  <c r="E14" i="52"/>
  <c r="I11" i="53"/>
  <c r="B59" i="53"/>
  <c r="B15" i="51"/>
  <c r="I5" i="51"/>
  <c r="B17" i="52"/>
  <c r="E15" i="52"/>
  <c r="K15" i="52" s="1"/>
  <c r="N15" i="52" s="1"/>
  <c r="I19" i="52"/>
  <c r="B16" i="53"/>
  <c r="C16" i="53"/>
  <c r="E15" i="53"/>
  <c r="I12" i="53"/>
  <c r="B37" i="53"/>
  <c r="B60" i="53"/>
  <c r="B48" i="50"/>
  <c r="C8" i="51"/>
  <c r="F8" i="51" s="1"/>
  <c r="C9" i="52"/>
  <c r="B46" i="53"/>
  <c r="C10" i="51"/>
  <c r="C11" i="52"/>
  <c r="F11" i="52" s="1"/>
  <c r="E18" i="52"/>
  <c r="L20" i="52"/>
  <c r="B19" i="53"/>
  <c r="C19" i="53"/>
  <c r="E18" i="53"/>
  <c r="I15" i="53"/>
  <c r="B40" i="53"/>
  <c r="B47" i="53"/>
  <c r="C11" i="51"/>
  <c r="C13" i="52"/>
  <c r="E19" i="52"/>
  <c r="K19" i="52" s="1"/>
  <c r="J19" i="52" s="1"/>
  <c r="I16" i="53"/>
  <c r="L20" i="53"/>
  <c r="B48" i="53"/>
  <c r="I9" i="49"/>
  <c r="I15" i="50"/>
  <c r="B37" i="50"/>
  <c r="C15" i="51"/>
  <c r="C14" i="52"/>
  <c r="B5" i="53"/>
  <c r="C5" i="53"/>
  <c r="I17" i="53"/>
  <c r="B26" i="53"/>
  <c r="B49" i="53"/>
  <c r="I15" i="49"/>
  <c r="C16" i="51"/>
  <c r="C16" i="52"/>
  <c r="I5" i="52"/>
  <c r="B34" i="52"/>
  <c r="B57" i="52"/>
  <c r="B6" i="53"/>
  <c r="C6" i="53"/>
  <c r="E5" i="53"/>
  <c r="I18" i="53"/>
  <c r="B27" i="53"/>
  <c r="B50" i="53"/>
  <c r="C17" i="51"/>
  <c r="C17" i="52"/>
  <c r="I7" i="52"/>
  <c r="B35" i="52"/>
  <c r="P61" i="52"/>
  <c r="B7" i="53"/>
  <c r="C7" i="53"/>
  <c r="E6" i="53"/>
  <c r="I19" i="53"/>
  <c r="B28" i="53"/>
  <c r="B51" i="53"/>
  <c r="C18" i="51"/>
  <c r="D20" i="52"/>
  <c r="B52" i="53"/>
  <c r="I5" i="53"/>
  <c r="B53" i="53"/>
  <c r="E6" i="52"/>
  <c r="K6" i="52" s="1"/>
  <c r="N6" i="52" s="1"/>
  <c r="I11" i="52"/>
  <c r="H11" i="52" s="1"/>
  <c r="G11" i="52" s="1"/>
  <c r="B10" i="53"/>
  <c r="C10" i="53"/>
  <c r="I6" i="53"/>
  <c r="B31" i="53"/>
  <c r="B54" i="53"/>
  <c r="E8" i="52"/>
  <c r="K8" i="52" s="1"/>
  <c r="J8" i="52" s="1"/>
  <c r="I7" i="53"/>
  <c r="B55" i="53"/>
  <c r="B9" i="52"/>
  <c r="E10" i="52"/>
  <c r="P41" i="52"/>
  <c r="K11" i="52"/>
  <c r="N11" i="52" s="1"/>
  <c r="I12" i="50"/>
  <c r="E19" i="51"/>
  <c r="K19" i="51" s="1"/>
  <c r="N19" i="51" s="1"/>
  <c r="B14" i="52"/>
  <c r="B58" i="52"/>
  <c r="C16" i="49"/>
  <c r="I13" i="50"/>
  <c r="B46" i="50"/>
  <c r="B15" i="52"/>
  <c r="C15" i="52"/>
  <c r="B36" i="52"/>
  <c r="B59" i="52"/>
  <c r="I14" i="50"/>
  <c r="B47" i="50"/>
  <c r="B60" i="52"/>
  <c r="E6" i="49"/>
  <c r="K6" i="49" s="1"/>
  <c r="J6" i="49" s="1"/>
  <c r="I16" i="50"/>
  <c r="B54" i="50"/>
  <c r="B8" i="51"/>
  <c r="B18" i="52"/>
  <c r="C18" i="52"/>
  <c r="B39" i="52"/>
  <c r="B46" i="52"/>
  <c r="E14" i="49"/>
  <c r="K14" i="49" s="1"/>
  <c r="J14" i="49" s="1"/>
  <c r="B56" i="50"/>
  <c r="B9" i="51"/>
  <c r="D20" i="51"/>
  <c r="B29" i="51"/>
  <c r="B19" i="52"/>
  <c r="C19" i="52"/>
  <c r="B40" i="52"/>
  <c r="B47" i="52"/>
  <c r="E8" i="48"/>
  <c r="H8" i="48" s="1"/>
  <c r="G8" i="48" s="1"/>
  <c r="B37" i="48"/>
  <c r="B59" i="50"/>
  <c r="B10" i="51"/>
  <c r="B30" i="51"/>
  <c r="B48" i="52"/>
  <c r="I6" i="49"/>
  <c r="E14" i="50"/>
  <c r="K14" i="50" s="1"/>
  <c r="N14" i="50" s="1"/>
  <c r="B11" i="51"/>
  <c r="E7" i="51"/>
  <c r="K7" i="51" s="1"/>
  <c r="J7" i="51" s="1"/>
  <c r="B31" i="51"/>
  <c r="B5" i="52"/>
  <c r="C5" i="52"/>
  <c r="I17" i="52"/>
  <c r="B26" i="52"/>
  <c r="B49" i="52"/>
  <c r="B6" i="52"/>
  <c r="C6" i="52"/>
  <c r="E5" i="52"/>
  <c r="I18" i="52"/>
  <c r="B27" i="52"/>
  <c r="B50" i="52"/>
  <c r="I13" i="49"/>
  <c r="E16" i="50"/>
  <c r="K16" i="50" s="1"/>
  <c r="J16" i="50" s="1"/>
  <c r="B16" i="51"/>
  <c r="E9" i="51"/>
  <c r="K9" i="51" s="1"/>
  <c r="J9" i="51" s="1"/>
  <c r="B36" i="51"/>
  <c r="P61" i="51"/>
  <c r="B7" i="52"/>
  <c r="C7" i="52"/>
  <c r="B28" i="52"/>
  <c r="B51" i="52"/>
  <c r="I14" i="49"/>
  <c r="E18" i="50"/>
  <c r="K18" i="50" s="1"/>
  <c r="N18" i="50" s="1"/>
  <c r="B17" i="51"/>
  <c r="E10" i="51"/>
  <c r="B37" i="51"/>
  <c r="B8" i="52"/>
  <c r="C8" i="52"/>
  <c r="E7" i="52"/>
  <c r="B29" i="52"/>
  <c r="B52" i="52"/>
  <c r="B18" i="51"/>
  <c r="B53" i="52"/>
  <c r="I6" i="50"/>
  <c r="E14" i="51"/>
  <c r="K14" i="51" s="1"/>
  <c r="J14" i="51" s="1"/>
  <c r="B39" i="51"/>
  <c r="B10" i="52"/>
  <c r="C10" i="52"/>
  <c r="E9" i="52"/>
  <c r="I6" i="52"/>
  <c r="B31" i="52"/>
  <c r="B54" i="52"/>
  <c r="I7" i="50"/>
  <c r="P41" i="51"/>
  <c r="B55" i="52"/>
  <c r="I8" i="50"/>
  <c r="H8" i="50" s="1"/>
  <c r="G8" i="50" s="1"/>
  <c r="C9" i="51"/>
  <c r="E16" i="51"/>
  <c r="K16" i="51" s="1"/>
  <c r="J16" i="51" s="1"/>
  <c r="K6" i="51"/>
  <c r="J6" i="51" s="1"/>
  <c r="I16" i="49"/>
  <c r="E9" i="50"/>
  <c r="K9" i="50" s="1"/>
  <c r="L20" i="50"/>
  <c r="B13" i="51"/>
  <c r="C13" i="51"/>
  <c r="E12" i="51"/>
  <c r="F12" i="51" s="1"/>
  <c r="I9" i="51"/>
  <c r="B34" i="51"/>
  <c r="B57" i="51"/>
  <c r="B15" i="49"/>
  <c r="I19" i="49"/>
  <c r="E10" i="50"/>
  <c r="K10" i="50" s="1"/>
  <c r="N10" i="50" s="1"/>
  <c r="B14" i="51"/>
  <c r="C14" i="51"/>
  <c r="E13" i="51"/>
  <c r="I10" i="51"/>
  <c r="B35" i="51"/>
  <c r="B58" i="51"/>
  <c r="I11" i="51"/>
  <c r="B59" i="51"/>
  <c r="C7" i="49"/>
  <c r="I12" i="51"/>
  <c r="B60" i="51"/>
  <c r="B46" i="51"/>
  <c r="E17" i="50"/>
  <c r="K17" i="50" s="1"/>
  <c r="J17" i="50" s="1"/>
  <c r="P41" i="50"/>
  <c r="B55" i="50"/>
  <c r="B19" i="51"/>
  <c r="C19" i="51"/>
  <c r="E18" i="51"/>
  <c r="I15" i="51"/>
  <c r="B40" i="51"/>
  <c r="B47" i="51"/>
  <c r="I16" i="51"/>
  <c r="L20" i="51"/>
  <c r="B48" i="51"/>
  <c r="E19" i="50"/>
  <c r="K19" i="50" s="1"/>
  <c r="N19" i="50" s="1"/>
  <c r="B5" i="51"/>
  <c r="C5" i="51"/>
  <c r="I17" i="51"/>
  <c r="B26" i="51"/>
  <c r="B49" i="51"/>
  <c r="B52" i="46"/>
  <c r="C14" i="47"/>
  <c r="B15" i="50"/>
  <c r="B60" i="50"/>
  <c r="B6" i="51"/>
  <c r="C6" i="51"/>
  <c r="F6" i="51" s="1"/>
  <c r="E5" i="51"/>
  <c r="I18" i="51"/>
  <c r="B27" i="51"/>
  <c r="B50" i="51"/>
  <c r="B59" i="46"/>
  <c r="I5" i="49"/>
  <c r="B16" i="50"/>
  <c r="B7" i="51"/>
  <c r="C7" i="51"/>
  <c r="I19" i="51"/>
  <c r="B28" i="51"/>
  <c r="B51" i="51"/>
  <c r="P61" i="50"/>
  <c r="B52" i="51"/>
  <c r="C15" i="50"/>
  <c r="B53" i="51"/>
  <c r="C16" i="50"/>
  <c r="I6" i="51"/>
  <c r="B54" i="51"/>
  <c r="D20" i="50"/>
  <c r="I7" i="51"/>
  <c r="B55" i="51"/>
  <c r="K8" i="50"/>
  <c r="J8" i="50" s="1"/>
  <c r="B59" i="45"/>
  <c r="E11" i="48"/>
  <c r="K11" i="48" s="1"/>
  <c r="N11" i="48" s="1"/>
  <c r="C9" i="49"/>
  <c r="I11" i="49"/>
  <c r="H11" i="49" s="1"/>
  <c r="G11" i="49" s="1"/>
  <c r="B13" i="50"/>
  <c r="C13" i="50"/>
  <c r="E12" i="50"/>
  <c r="I9" i="50"/>
  <c r="B34" i="50"/>
  <c r="B57" i="50"/>
  <c r="E19" i="48"/>
  <c r="K19" i="48" s="1"/>
  <c r="N19" i="48" s="1"/>
  <c r="B31" i="48"/>
  <c r="C15" i="49"/>
  <c r="I12" i="49"/>
  <c r="B14" i="50"/>
  <c r="C14" i="50"/>
  <c r="E13" i="50"/>
  <c r="I10" i="50"/>
  <c r="B35" i="50"/>
  <c r="B58" i="50"/>
  <c r="B17" i="50"/>
  <c r="C17" i="50"/>
  <c r="B38" i="50"/>
  <c r="D20" i="49"/>
  <c r="B18" i="50"/>
  <c r="C18" i="50"/>
  <c r="B39" i="50"/>
  <c r="E8" i="49"/>
  <c r="H8" i="49" s="1"/>
  <c r="G8" i="49" s="1"/>
  <c r="B28" i="49"/>
  <c r="B51" i="49"/>
  <c r="B19" i="50"/>
  <c r="C19" i="50"/>
  <c r="B40" i="50"/>
  <c r="B53" i="49"/>
  <c r="E15" i="49"/>
  <c r="B36" i="49"/>
  <c r="B59" i="49"/>
  <c r="B5" i="50"/>
  <c r="C5" i="50"/>
  <c r="I17" i="50"/>
  <c r="B26" i="50"/>
  <c r="B49" i="50"/>
  <c r="C10" i="48"/>
  <c r="F10" i="48" s="1"/>
  <c r="E16" i="49"/>
  <c r="K16" i="49" s="1"/>
  <c r="J16" i="49" s="1"/>
  <c r="B37" i="49"/>
  <c r="B60" i="49"/>
  <c r="B6" i="50"/>
  <c r="C6" i="50"/>
  <c r="E5" i="50"/>
  <c r="I18" i="50"/>
  <c r="B27" i="50"/>
  <c r="B50" i="50"/>
  <c r="C13" i="48"/>
  <c r="E17" i="49"/>
  <c r="K17" i="49" s="1"/>
  <c r="J17" i="49" s="1"/>
  <c r="P41" i="49"/>
  <c r="P61" i="49"/>
  <c r="B7" i="50"/>
  <c r="C7" i="50"/>
  <c r="E6" i="50"/>
  <c r="I19" i="50"/>
  <c r="B28" i="50"/>
  <c r="B51" i="50"/>
  <c r="C15" i="48"/>
  <c r="E19" i="49"/>
  <c r="B8" i="50"/>
  <c r="C8" i="50"/>
  <c r="F8" i="50" s="1"/>
  <c r="E7" i="50"/>
  <c r="B29" i="50"/>
  <c r="B52" i="50"/>
  <c r="B30" i="49"/>
  <c r="B50" i="46"/>
  <c r="C16" i="48"/>
  <c r="B7" i="49"/>
  <c r="B9" i="50"/>
  <c r="C9" i="50"/>
  <c r="B30" i="50"/>
  <c r="D20" i="48"/>
  <c r="B10" i="50"/>
  <c r="C10" i="50"/>
  <c r="B31" i="50"/>
  <c r="B11" i="50"/>
  <c r="C11" i="50"/>
  <c r="B32" i="50"/>
  <c r="P61" i="48"/>
  <c r="K11" i="49"/>
  <c r="J11" i="49" s="1"/>
  <c r="I15" i="47"/>
  <c r="C8" i="48"/>
  <c r="E16" i="48"/>
  <c r="B13" i="49"/>
  <c r="C13" i="49"/>
  <c r="E12" i="49"/>
  <c r="B34" i="49"/>
  <c r="B57" i="49"/>
  <c r="B46" i="46"/>
  <c r="C9" i="48"/>
  <c r="E17" i="48"/>
  <c r="K17" i="48" s="1"/>
  <c r="J17" i="48" s="1"/>
  <c r="B14" i="49"/>
  <c r="C14" i="49"/>
  <c r="E13" i="49"/>
  <c r="I10" i="49"/>
  <c r="B35" i="49"/>
  <c r="B58" i="49"/>
  <c r="B15" i="47"/>
  <c r="B16" i="49"/>
  <c r="L20" i="48"/>
  <c r="B17" i="49"/>
  <c r="C17" i="49"/>
  <c r="B38" i="49"/>
  <c r="B18" i="45"/>
  <c r="I18" i="46"/>
  <c r="B60" i="46"/>
  <c r="C9" i="47"/>
  <c r="F9" i="47" s="1"/>
  <c r="B29" i="48"/>
  <c r="B18" i="49"/>
  <c r="C18" i="49"/>
  <c r="B39" i="49"/>
  <c r="B46" i="49"/>
  <c r="I16" i="46"/>
  <c r="I19" i="46"/>
  <c r="C13" i="47"/>
  <c r="C17" i="48"/>
  <c r="B30" i="48"/>
  <c r="B19" i="49"/>
  <c r="C19" i="49"/>
  <c r="E18" i="49"/>
  <c r="B40" i="49"/>
  <c r="B47" i="49"/>
  <c r="L20" i="49"/>
  <c r="B48" i="49"/>
  <c r="C15" i="47"/>
  <c r="B8" i="48"/>
  <c r="B34" i="48"/>
  <c r="B54" i="48"/>
  <c r="B5" i="49"/>
  <c r="C5" i="49"/>
  <c r="I17" i="49"/>
  <c r="B26" i="49"/>
  <c r="B49" i="49"/>
  <c r="B9" i="48"/>
  <c r="E7" i="48"/>
  <c r="K7" i="48" s="1"/>
  <c r="J7" i="48" s="1"/>
  <c r="B36" i="48"/>
  <c r="B57" i="48"/>
  <c r="B6" i="49"/>
  <c r="C6" i="49"/>
  <c r="E5" i="49"/>
  <c r="I18" i="49"/>
  <c r="B27" i="49"/>
  <c r="B50" i="49"/>
  <c r="B10" i="48"/>
  <c r="E11" i="47"/>
  <c r="K11" i="47" s="1"/>
  <c r="J11" i="47" s="1"/>
  <c r="B13" i="48"/>
  <c r="E9" i="48"/>
  <c r="K9" i="48" s="1"/>
  <c r="J9" i="48" s="1"/>
  <c r="B38" i="48"/>
  <c r="B8" i="49"/>
  <c r="C8" i="49"/>
  <c r="E7" i="49"/>
  <c r="B29" i="49"/>
  <c r="B52" i="49"/>
  <c r="E12" i="47"/>
  <c r="P61" i="47"/>
  <c r="B15" i="48"/>
  <c r="P41" i="48"/>
  <c r="B9" i="49"/>
  <c r="E13" i="47"/>
  <c r="K13" i="47" s="1"/>
  <c r="J13" i="47" s="1"/>
  <c r="B16" i="48"/>
  <c r="E12" i="48"/>
  <c r="K12" i="48" s="1"/>
  <c r="J12" i="48" s="1"/>
  <c r="B10" i="49"/>
  <c r="C10" i="49"/>
  <c r="E9" i="49"/>
  <c r="B31" i="49"/>
  <c r="B54" i="49"/>
  <c r="E17" i="47"/>
  <c r="K17" i="47" s="1"/>
  <c r="N17" i="47" s="1"/>
  <c r="B17" i="48"/>
  <c r="E14" i="48"/>
  <c r="K14" i="48" s="1"/>
  <c r="J14" i="48" s="1"/>
  <c r="B11" i="49"/>
  <c r="C11" i="49"/>
  <c r="F11" i="49" s="1"/>
  <c r="E10" i="49"/>
  <c r="I7" i="49"/>
  <c r="B32" i="49"/>
  <c r="B55" i="49"/>
  <c r="E15" i="48"/>
  <c r="K15" i="48" s="1"/>
  <c r="J15" i="48" s="1"/>
  <c r="K10" i="48"/>
  <c r="J10" i="48" s="1"/>
  <c r="I9" i="48"/>
  <c r="C14" i="46"/>
  <c r="E19" i="47"/>
  <c r="K19" i="47" s="1"/>
  <c r="J19" i="47" s="1"/>
  <c r="B30" i="47"/>
  <c r="B46" i="47"/>
  <c r="B14" i="48"/>
  <c r="C14" i="48"/>
  <c r="E13" i="48"/>
  <c r="I10" i="48"/>
  <c r="H10" i="48" s="1"/>
  <c r="B35" i="48"/>
  <c r="B58" i="48"/>
  <c r="B59" i="48"/>
  <c r="B48" i="47"/>
  <c r="B35" i="47"/>
  <c r="I12" i="48"/>
  <c r="B60" i="48"/>
  <c r="I7" i="45"/>
  <c r="H7" i="45" s="1"/>
  <c r="I7" i="47"/>
  <c r="B34" i="47"/>
  <c r="B37" i="45"/>
  <c r="I6" i="46"/>
  <c r="I8" i="47"/>
  <c r="B55" i="47"/>
  <c r="B18" i="48"/>
  <c r="C18" i="48"/>
  <c r="I14" i="48"/>
  <c r="B39" i="48"/>
  <c r="B46" i="48"/>
  <c r="B30" i="45"/>
  <c r="B36" i="47"/>
  <c r="B53" i="47"/>
  <c r="I13" i="48"/>
  <c r="I8" i="46"/>
  <c r="H8" i="46" s="1"/>
  <c r="G8" i="46" s="1"/>
  <c r="D20" i="47"/>
  <c r="I9" i="47"/>
  <c r="H9" i="47" s="1"/>
  <c r="B56" i="47"/>
  <c r="B19" i="48"/>
  <c r="C19" i="48"/>
  <c r="E18" i="48"/>
  <c r="I15" i="48"/>
  <c r="B40" i="48"/>
  <c r="B47" i="48"/>
  <c r="I16" i="48"/>
  <c r="B48" i="48"/>
  <c r="I11" i="48"/>
  <c r="I5" i="47"/>
  <c r="B50" i="47"/>
  <c r="B57" i="47"/>
  <c r="I11" i="46"/>
  <c r="E5" i="47"/>
  <c r="I11" i="47"/>
  <c r="B58" i="47"/>
  <c r="B5" i="48"/>
  <c r="C5" i="48"/>
  <c r="I17" i="48"/>
  <c r="B26" i="48"/>
  <c r="B49" i="48"/>
  <c r="B31" i="45"/>
  <c r="I12" i="46"/>
  <c r="E8" i="47"/>
  <c r="K8" i="47" s="1"/>
  <c r="J8" i="47" s="1"/>
  <c r="I13" i="47"/>
  <c r="P41" i="47"/>
  <c r="B59" i="47"/>
  <c r="B6" i="48"/>
  <c r="C6" i="48"/>
  <c r="E5" i="48"/>
  <c r="I18" i="48"/>
  <c r="B27" i="48"/>
  <c r="B50" i="48"/>
  <c r="I10" i="46"/>
  <c r="I10" i="47"/>
  <c r="I14" i="46"/>
  <c r="E10" i="47"/>
  <c r="K10" i="47" s="1"/>
  <c r="N10" i="47" s="1"/>
  <c r="I14" i="47"/>
  <c r="B7" i="48"/>
  <c r="C7" i="48"/>
  <c r="E6" i="48"/>
  <c r="I19" i="48"/>
  <c r="B28" i="48"/>
  <c r="B51" i="48"/>
  <c r="B52" i="48"/>
  <c r="I16" i="47"/>
  <c r="I5" i="48"/>
  <c r="B53" i="48"/>
  <c r="I18" i="47"/>
  <c r="I6" i="48"/>
  <c r="B36" i="46"/>
  <c r="B56" i="46"/>
  <c r="B13" i="47"/>
  <c r="E14" i="47"/>
  <c r="K14" i="47" s="1"/>
  <c r="J14" i="47" s="1"/>
  <c r="I19" i="47"/>
  <c r="B11" i="48"/>
  <c r="C11" i="48"/>
  <c r="I7" i="48"/>
  <c r="B32" i="48"/>
  <c r="B55" i="48"/>
  <c r="B31" i="46"/>
  <c r="B32" i="46"/>
  <c r="P41" i="46"/>
  <c r="B14" i="47"/>
  <c r="E16" i="47"/>
  <c r="K9" i="47"/>
  <c r="N9" i="47" s="1"/>
  <c r="E15" i="45"/>
  <c r="B10" i="46"/>
  <c r="P61" i="46"/>
  <c r="B16" i="47"/>
  <c r="C16" i="47"/>
  <c r="E15" i="47"/>
  <c r="I12" i="47"/>
  <c r="B37" i="47"/>
  <c r="B60" i="47"/>
  <c r="B14" i="46"/>
  <c r="B17" i="47"/>
  <c r="C17" i="47"/>
  <c r="B38" i="47"/>
  <c r="B39" i="47"/>
  <c r="B18" i="47"/>
  <c r="C18" i="47"/>
  <c r="B36" i="45"/>
  <c r="C10" i="46"/>
  <c r="B35" i="46"/>
  <c r="B48" i="46"/>
  <c r="B19" i="47"/>
  <c r="C19" i="47"/>
  <c r="E18" i="47"/>
  <c r="B40" i="47"/>
  <c r="B47" i="47"/>
  <c r="L20" i="47"/>
  <c r="B38" i="45"/>
  <c r="C15" i="46"/>
  <c r="B51" i="46"/>
  <c r="B5" i="47"/>
  <c r="C5" i="47"/>
  <c r="I17" i="47"/>
  <c r="B26" i="47"/>
  <c r="B49" i="47"/>
  <c r="E10" i="45"/>
  <c r="B6" i="47"/>
  <c r="C6" i="47"/>
  <c r="B9" i="45"/>
  <c r="B54" i="46"/>
  <c r="B7" i="47"/>
  <c r="C7" i="47"/>
  <c r="E6" i="47"/>
  <c r="B28" i="47"/>
  <c r="B51" i="47"/>
  <c r="D20" i="46"/>
  <c r="B27" i="47"/>
  <c r="B10" i="45"/>
  <c r="B55" i="46"/>
  <c r="B8" i="47"/>
  <c r="C8" i="47"/>
  <c r="E7" i="47"/>
  <c r="B29" i="47"/>
  <c r="B52" i="47"/>
  <c r="B15" i="45"/>
  <c r="B9" i="47"/>
  <c r="B17" i="45"/>
  <c r="I7" i="46"/>
  <c r="B58" i="46"/>
  <c r="B10" i="47"/>
  <c r="C10" i="47"/>
  <c r="B31" i="47"/>
  <c r="B11" i="47"/>
  <c r="C11" i="47"/>
  <c r="B32" i="47"/>
  <c r="E19" i="46"/>
  <c r="E10" i="46"/>
  <c r="K10" i="46" s="1"/>
  <c r="E11" i="46"/>
  <c r="E13" i="46"/>
  <c r="K13" i="46" s="1"/>
  <c r="N13" i="46" s="1"/>
  <c r="E14" i="46"/>
  <c r="E15" i="46"/>
  <c r="K15" i="46" s="1"/>
  <c r="N15" i="46" s="1"/>
  <c r="E16" i="46"/>
  <c r="C7" i="46"/>
  <c r="E17" i="46"/>
  <c r="K17" i="46" s="1"/>
  <c r="J17" i="46" s="1"/>
  <c r="E5" i="46"/>
  <c r="K5" i="46" s="1"/>
  <c r="N5" i="46" s="1"/>
  <c r="E6" i="46"/>
  <c r="E7" i="46"/>
  <c r="E9" i="46"/>
  <c r="K9" i="46" s="1"/>
  <c r="J9" i="46" s="1"/>
  <c r="K8" i="46"/>
  <c r="J8" i="46" s="1"/>
  <c r="B11" i="46"/>
  <c r="I5" i="45"/>
  <c r="B12" i="46"/>
  <c r="C12" i="46"/>
  <c r="I6" i="45"/>
  <c r="B13" i="46"/>
  <c r="C13" i="46"/>
  <c r="E12" i="46"/>
  <c r="I9" i="46"/>
  <c r="B34" i="46"/>
  <c r="B57" i="46"/>
  <c r="I8" i="45"/>
  <c r="I11" i="45"/>
  <c r="B16" i="46"/>
  <c r="C16" i="46"/>
  <c r="B37" i="46"/>
  <c r="B16" i="45"/>
  <c r="I12" i="45"/>
  <c r="B17" i="46"/>
  <c r="C17" i="46"/>
  <c r="I13" i="46"/>
  <c r="B38" i="46"/>
  <c r="B15" i="46"/>
  <c r="I13" i="45"/>
  <c r="B39" i="46"/>
  <c r="B18" i="46"/>
  <c r="C18" i="46"/>
  <c r="I14" i="45"/>
  <c r="B19" i="46"/>
  <c r="C19" i="46"/>
  <c r="E18" i="46"/>
  <c r="I15" i="46"/>
  <c r="B40" i="46"/>
  <c r="B47" i="46"/>
  <c r="L20" i="46"/>
  <c r="D20" i="45"/>
  <c r="I19" i="45"/>
  <c r="B5" i="46"/>
  <c r="C5" i="46"/>
  <c r="I17" i="46"/>
  <c r="B26" i="46"/>
  <c r="B49" i="46"/>
  <c r="I16" i="45"/>
  <c r="B6" i="46"/>
  <c r="C6" i="46"/>
  <c r="B27" i="46"/>
  <c r="B28" i="46"/>
  <c r="E11" i="45"/>
  <c r="B8" i="46"/>
  <c r="C8" i="46"/>
  <c r="F8" i="46" s="1"/>
  <c r="P61" i="45"/>
  <c r="B7" i="46"/>
  <c r="B29" i="46"/>
  <c r="E14" i="45"/>
  <c r="B39" i="45"/>
  <c r="C9" i="46"/>
  <c r="B30" i="46"/>
  <c r="P41" i="45"/>
  <c r="C7" i="45"/>
  <c r="E16" i="45"/>
  <c r="C9" i="45"/>
  <c r="E17" i="45"/>
  <c r="C15" i="45"/>
  <c r="C16" i="45"/>
  <c r="C17" i="45"/>
  <c r="E6" i="45"/>
  <c r="C10" i="45"/>
  <c r="E19" i="45"/>
  <c r="C18" i="45"/>
  <c r="E8" i="45"/>
  <c r="E9" i="45"/>
  <c r="K9" i="45" s="1"/>
  <c r="K7" i="45"/>
  <c r="B53" i="45"/>
  <c r="B32" i="45"/>
  <c r="B55" i="45"/>
  <c r="C12" i="45"/>
  <c r="B34" i="45"/>
  <c r="B57" i="45"/>
  <c r="B54" i="45"/>
  <c r="B11" i="45"/>
  <c r="C11" i="45"/>
  <c r="B12" i="45"/>
  <c r="B33" i="45"/>
  <c r="B56" i="45"/>
  <c r="B13" i="45"/>
  <c r="C13" i="45"/>
  <c r="E12" i="45"/>
  <c r="I9" i="45"/>
  <c r="B14" i="45"/>
  <c r="C14" i="45"/>
  <c r="E13" i="45"/>
  <c r="I10" i="45"/>
  <c r="B35" i="45"/>
  <c r="B58" i="45"/>
  <c r="B46" i="45"/>
  <c r="B19" i="45"/>
  <c r="C19" i="45"/>
  <c r="E18" i="45"/>
  <c r="I15" i="45"/>
  <c r="B40" i="45"/>
  <c r="B47" i="45"/>
  <c r="B26" i="45"/>
  <c r="B49" i="45"/>
  <c r="L20" i="45"/>
  <c r="B48" i="45"/>
  <c r="B5" i="45"/>
  <c r="C5" i="45"/>
  <c r="I17" i="45"/>
  <c r="B6" i="45"/>
  <c r="C6" i="45"/>
  <c r="E5" i="45"/>
  <c r="B27" i="45"/>
  <c r="B50" i="45"/>
  <c r="B60" i="45"/>
  <c r="B7" i="45"/>
  <c r="B28" i="45"/>
  <c r="B51" i="45"/>
  <c r="I12" i="1"/>
  <c r="N5" i="54" l="1" a="1"/>
  <c r="N7" i="54" s="1"/>
  <c r="H5" i="55"/>
  <c r="F15" i="50"/>
  <c r="F6" i="46"/>
  <c r="H12" i="52"/>
  <c r="G12" i="52" s="1"/>
  <c r="F16" i="52"/>
  <c r="H12" i="48"/>
  <c r="G12" i="48" s="1"/>
  <c r="F12" i="48"/>
  <c r="F11" i="53"/>
  <c r="B6" i="56"/>
  <c r="H5" i="45"/>
  <c r="F11" i="50"/>
  <c r="F15" i="53"/>
  <c r="F6" i="52"/>
  <c r="F19" i="53"/>
  <c r="H19" i="50"/>
  <c r="G19" i="50" s="1"/>
  <c r="H11" i="53"/>
  <c r="G11" i="53" s="1"/>
  <c r="F8" i="53"/>
  <c r="U5" i="54"/>
  <c r="X5" i="54"/>
  <c r="P5" i="54" s="1"/>
  <c r="F18" i="52"/>
  <c r="F14" i="53"/>
  <c r="H8" i="53"/>
  <c r="G8" i="53" s="1"/>
  <c r="H17" i="52"/>
  <c r="G17" i="52" s="1"/>
  <c r="H14" i="53"/>
  <c r="G14" i="53" s="1"/>
  <c r="F6" i="49"/>
  <c r="H6" i="49"/>
  <c r="G6" i="49" s="1"/>
  <c r="F15" i="48"/>
  <c r="F17" i="51"/>
  <c r="H17" i="51"/>
  <c r="G17" i="51" s="1"/>
  <c r="F16" i="53"/>
  <c r="H14" i="49"/>
  <c r="G14" i="49" s="1"/>
  <c r="F16" i="50"/>
  <c r="H16" i="51"/>
  <c r="G16" i="51" s="1"/>
  <c r="H11" i="51"/>
  <c r="G11" i="51" s="1"/>
  <c r="F15" i="51"/>
  <c r="F7" i="52"/>
  <c r="T33" i="55"/>
  <c r="T13" i="55"/>
  <c r="P26" i="55"/>
  <c r="K5" i="55" s="1"/>
  <c r="H11" i="50"/>
  <c r="G11" i="50" s="1"/>
  <c r="N16" i="53"/>
  <c r="J6" i="52"/>
  <c r="O27" i="52" s="1"/>
  <c r="H10" i="52"/>
  <c r="G10" i="52" s="1"/>
  <c r="H15" i="49"/>
  <c r="G15" i="49" s="1"/>
  <c r="J11" i="52"/>
  <c r="P11" i="52" s="1"/>
  <c r="H15" i="50"/>
  <c r="G15" i="50" s="1"/>
  <c r="J9" i="47"/>
  <c r="P9" i="47" s="1"/>
  <c r="H17" i="53"/>
  <c r="G17" i="53" s="1"/>
  <c r="O37" i="53"/>
  <c r="F17" i="53"/>
  <c r="J19" i="53"/>
  <c r="P19" i="53" s="1"/>
  <c r="F17" i="52"/>
  <c r="F8" i="52"/>
  <c r="J16" i="52"/>
  <c r="O37" i="52" s="1"/>
  <c r="H16" i="52"/>
  <c r="G16" i="52" s="1"/>
  <c r="H8" i="52"/>
  <c r="G8" i="52" s="1"/>
  <c r="H14" i="51"/>
  <c r="G14" i="51" s="1"/>
  <c r="K11" i="50"/>
  <c r="J11" i="50" s="1"/>
  <c r="O32" i="50" s="1"/>
  <c r="H18" i="50"/>
  <c r="G18" i="50" s="1"/>
  <c r="J18" i="50"/>
  <c r="P18" i="50" s="1"/>
  <c r="F7" i="49"/>
  <c r="N10" i="53"/>
  <c r="J10" i="53"/>
  <c r="P10" i="53" s="1"/>
  <c r="N8" i="53"/>
  <c r="J8" i="53"/>
  <c r="O29" i="53" s="1"/>
  <c r="P9" i="48"/>
  <c r="K8" i="51"/>
  <c r="N8" i="51" s="1"/>
  <c r="N19" i="52"/>
  <c r="F12" i="52"/>
  <c r="K15" i="49"/>
  <c r="J15" i="49" s="1"/>
  <c r="P15" i="49" s="1"/>
  <c r="K14" i="52"/>
  <c r="J14" i="52" s="1"/>
  <c r="O35" i="52" s="1"/>
  <c r="F10" i="51"/>
  <c r="F14" i="50"/>
  <c r="O37" i="50"/>
  <c r="F13" i="47"/>
  <c r="N17" i="51"/>
  <c r="P16" i="53"/>
  <c r="O37" i="51"/>
  <c r="F18" i="50"/>
  <c r="W20" i="54"/>
  <c r="K11" i="53"/>
  <c r="J11" i="53" s="1"/>
  <c r="F19" i="52"/>
  <c r="H16" i="53"/>
  <c r="G16" i="53" s="1"/>
  <c r="F7" i="53"/>
  <c r="N7" i="53"/>
  <c r="H14" i="50"/>
  <c r="G14" i="50" s="1"/>
  <c r="H16" i="50"/>
  <c r="G16" i="50" s="1"/>
  <c r="F10" i="53"/>
  <c r="O35" i="53"/>
  <c r="P14" i="53"/>
  <c r="P16" i="50"/>
  <c r="N17" i="53"/>
  <c r="O30" i="53"/>
  <c r="P9" i="53"/>
  <c r="H12" i="47"/>
  <c r="G12" i="47" s="1"/>
  <c r="F7" i="51"/>
  <c r="N16" i="51"/>
  <c r="H14" i="52"/>
  <c r="G14" i="52" s="1"/>
  <c r="K5" i="53"/>
  <c r="N5" i="53" s="1"/>
  <c r="H5" i="53"/>
  <c r="G5" i="53" s="1"/>
  <c r="E20" i="53"/>
  <c r="F14" i="52"/>
  <c r="K15" i="53"/>
  <c r="J15" i="53" s="1"/>
  <c r="H15" i="53"/>
  <c r="G15" i="53" s="1"/>
  <c r="K13" i="53"/>
  <c r="J13" i="53" s="1"/>
  <c r="H13" i="53"/>
  <c r="G13" i="53" s="1"/>
  <c r="N9" i="53"/>
  <c r="H19" i="52"/>
  <c r="G19" i="52" s="1"/>
  <c r="C20" i="53"/>
  <c r="F5" i="53"/>
  <c r="K8" i="49"/>
  <c r="J8" i="49" s="1"/>
  <c r="P8" i="49" s="1"/>
  <c r="F19" i="51"/>
  <c r="K12" i="52"/>
  <c r="F6" i="53"/>
  <c r="H18" i="53"/>
  <c r="G18" i="53" s="1"/>
  <c r="K18" i="53"/>
  <c r="J18" i="53" s="1"/>
  <c r="N14" i="53"/>
  <c r="K6" i="53"/>
  <c r="J6" i="53" s="1"/>
  <c r="H6" i="53"/>
  <c r="G6" i="53" s="1"/>
  <c r="K13" i="52"/>
  <c r="J13" i="52" s="1"/>
  <c r="F11" i="51"/>
  <c r="H7" i="48"/>
  <c r="G7" i="48" s="1"/>
  <c r="K10" i="51"/>
  <c r="J10" i="51" s="1"/>
  <c r="P10" i="51" s="1"/>
  <c r="F10" i="52"/>
  <c r="K10" i="52"/>
  <c r="J10" i="52" s="1"/>
  <c r="P10" i="52" s="1"/>
  <c r="H10" i="53"/>
  <c r="G10" i="53" s="1"/>
  <c r="P7" i="53"/>
  <c r="N6" i="51"/>
  <c r="K18" i="52"/>
  <c r="J18" i="52" s="1"/>
  <c r="O39" i="52" s="1"/>
  <c r="N16" i="50"/>
  <c r="J19" i="51"/>
  <c r="O40" i="51" s="1"/>
  <c r="O28" i="53"/>
  <c r="H15" i="52"/>
  <c r="G15" i="52" s="1"/>
  <c r="J11" i="51"/>
  <c r="O32" i="51" s="1"/>
  <c r="H18" i="52"/>
  <c r="G18" i="52" s="1"/>
  <c r="H19" i="48"/>
  <c r="G19" i="48" s="1"/>
  <c r="F19" i="50"/>
  <c r="H10" i="51"/>
  <c r="G10" i="51" s="1"/>
  <c r="G9" i="53"/>
  <c r="F18" i="53"/>
  <c r="F7" i="48"/>
  <c r="N7" i="51"/>
  <c r="H13" i="52"/>
  <c r="G13" i="52" s="1"/>
  <c r="H7" i="53"/>
  <c r="G7" i="53" s="1"/>
  <c r="K12" i="53"/>
  <c r="J12" i="53" s="1"/>
  <c r="H12" i="53"/>
  <c r="G12" i="53" s="1"/>
  <c r="F9" i="51"/>
  <c r="F15" i="52"/>
  <c r="I20" i="53"/>
  <c r="H19" i="53"/>
  <c r="G19" i="53" s="1"/>
  <c r="F13" i="52"/>
  <c r="F13" i="53"/>
  <c r="O38" i="53"/>
  <c r="P17" i="53"/>
  <c r="K8" i="48"/>
  <c r="N8" i="48" s="1"/>
  <c r="H17" i="49"/>
  <c r="G17" i="49" s="1"/>
  <c r="C20" i="52"/>
  <c r="F5" i="52"/>
  <c r="O38" i="52"/>
  <c r="P17" i="52"/>
  <c r="F17" i="48"/>
  <c r="K7" i="52"/>
  <c r="J7" i="52" s="1"/>
  <c r="H7" i="52"/>
  <c r="G7" i="52" s="1"/>
  <c r="H6" i="46"/>
  <c r="G6" i="46" s="1"/>
  <c r="O32" i="47"/>
  <c r="F10" i="50"/>
  <c r="N17" i="50"/>
  <c r="F17" i="50"/>
  <c r="N9" i="51"/>
  <c r="P19" i="52"/>
  <c r="O40" i="52"/>
  <c r="F13" i="49"/>
  <c r="I20" i="52"/>
  <c r="H6" i="52"/>
  <c r="G6" i="52" s="1"/>
  <c r="H9" i="50"/>
  <c r="G9" i="50" s="1"/>
  <c r="H9" i="51"/>
  <c r="G9" i="51" s="1"/>
  <c r="H9" i="52"/>
  <c r="G9" i="52" s="1"/>
  <c r="K9" i="52"/>
  <c r="J9" i="52" s="1"/>
  <c r="H17" i="50"/>
  <c r="G17" i="50" s="1"/>
  <c r="F16" i="51"/>
  <c r="N8" i="52"/>
  <c r="J11" i="48"/>
  <c r="P11" i="48" s="1"/>
  <c r="F8" i="48"/>
  <c r="F9" i="50"/>
  <c r="F13" i="50"/>
  <c r="F13" i="51"/>
  <c r="J15" i="52"/>
  <c r="E20" i="52"/>
  <c r="K5" i="52"/>
  <c r="H5" i="52"/>
  <c r="N17" i="49"/>
  <c r="O29" i="52"/>
  <c r="P8" i="52"/>
  <c r="N7" i="48"/>
  <c r="F14" i="49"/>
  <c r="F14" i="51"/>
  <c r="P16" i="51"/>
  <c r="N17" i="52"/>
  <c r="F8" i="49"/>
  <c r="F9" i="52"/>
  <c r="H13" i="47"/>
  <c r="G13" i="47" s="1"/>
  <c r="H15" i="51"/>
  <c r="G15" i="51" s="1"/>
  <c r="F7" i="50"/>
  <c r="H18" i="51"/>
  <c r="G18" i="51" s="1"/>
  <c r="K18" i="51"/>
  <c r="J18" i="51" s="1"/>
  <c r="K12" i="51"/>
  <c r="J12" i="51" s="1"/>
  <c r="H12" i="51"/>
  <c r="G12" i="51" s="1"/>
  <c r="O38" i="51"/>
  <c r="P17" i="51"/>
  <c r="C20" i="51"/>
  <c r="F5" i="51"/>
  <c r="O30" i="51"/>
  <c r="P9" i="51"/>
  <c r="O36" i="51"/>
  <c r="P15" i="51"/>
  <c r="H19" i="51"/>
  <c r="G19" i="51" s="1"/>
  <c r="O35" i="51"/>
  <c r="P14" i="51"/>
  <c r="I20" i="51"/>
  <c r="H6" i="51"/>
  <c r="G6" i="51" s="1"/>
  <c r="F18" i="51"/>
  <c r="F19" i="49"/>
  <c r="H7" i="51"/>
  <c r="G7" i="51" s="1"/>
  <c r="K13" i="51"/>
  <c r="J13" i="51" s="1"/>
  <c r="H13" i="51"/>
  <c r="G13" i="51" s="1"/>
  <c r="O27" i="51"/>
  <c r="P6" i="51"/>
  <c r="K5" i="51"/>
  <c r="N5" i="51" s="1"/>
  <c r="H5" i="51"/>
  <c r="E20" i="51"/>
  <c r="N15" i="51"/>
  <c r="J14" i="50"/>
  <c r="O35" i="50" s="1"/>
  <c r="P7" i="51"/>
  <c r="O28" i="51"/>
  <c r="F11" i="48"/>
  <c r="N14" i="51"/>
  <c r="H10" i="50"/>
  <c r="G10" i="50" s="1"/>
  <c r="H13" i="50"/>
  <c r="G13" i="50" s="1"/>
  <c r="K13" i="50"/>
  <c r="J13" i="50" s="1"/>
  <c r="F17" i="47"/>
  <c r="J10" i="50"/>
  <c r="K12" i="50"/>
  <c r="J12" i="50" s="1"/>
  <c r="H12" i="50"/>
  <c r="G12" i="50" s="1"/>
  <c r="N11" i="49"/>
  <c r="H6" i="50"/>
  <c r="G6" i="50" s="1"/>
  <c r="K6" i="50"/>
  <c r="J6" i="50" s="1"/>
  <c r="N8" i="50"/>
  <c r="H16" i="49"/>
  <c r="G16" i="49" s="1"/>
  <c r="N16" i="49"/>
  <c r="O38" i="50"/>
  <c r="P17" i="50"/>
  <c r="J19" i="48"/>
  <c r="O40" i="48" s="1"/>
  <c r="K7" i="50"/>
  <c r="J7" i="50" s="1"/>
  <c r="H7" i="50"/>
  <c r="G7" i="50" s="1"/>
  <c r="F15" i="49"/>
  <c r="J15" i="50"/>
  <c r="J19" i="50"/>
  <c r="I20" i="50"/>
  <c r="H15" i="48"/>
  <c r="G15" i="48" s="1"/>
  <c r="H19" i="49"/>
  <c r="G19" i="49" s="1"/>
  <c r="K19" i="49"/>
  <c r="F12" i="46"/>
  <c r="F15" i="47"/>
  <c r="N14" i="49"/>
  <c r="F9" i="48"/>
  <c r="F16" i="49"/>
  <c r="K5" i="50"/>
  <c r="N5" i="50" s="1"/>
  <c r="H5" i="50"/>
  <c r="E20" i="50"/>
  <c r="C20" i="50"/>
  <c r="F5" i="50"/>
  <c r="F19" i="48"/>
  <c r="F6" i="50"/>
  <c r="F12" i="50"/>
  <c r="O29" i="50"/>
  <c r="P8" i="50"/>
  <c r="F17" i="49"/>
  <c r="F11" i="47"/>
  <c r="H11" i="47"/>
  <c r="G11" i="47" s="1"/>
  <c r="N6" i="49"/>
  <c r="J9" i="50"/>
  <c r="N9" i="50"/>
  <c r="F17" i="46"/>
  <c r="F14" i="48"/>
  <c r="O27" i="49"/>
  <c r="P6" i="49"/>
  <c r="P11" i="49"/>
  <c r="O32" i="49"/>
  <c r="H11" i="46"/>
  <c r="G11" i="46" s="1"/>
  <c r="F14" i="47"/>
  <c r="F18" i="49"/>
  <c r="K16" i="48"/>
  <c r="F16" i="48"/>
  <c r="H14" i="47"/>
  <c r="G14" i="47" s="1"/>
  <c r="H16" i="47"/>
  <c r="G16" i="47" s="1"/>
  <c r="H19" i="46"/>
  <c r="G19" i="46" s="1"/>
  <c r="K12" i="47"/>
  <c r="N12" i="47" s="1"/>
  <c r="H16" i="48"/>
  <c r="G16" i="48" s="1"/>
  <c r="H8" i="47"/>
  <c r="G8" i="47" s="1"/>
  <c r="K7" i="49"/>
  <c r="J7" i="49" s="1"/>
  <c r="H7" i="49"/>
  <c r="G7" i="49" s="1"/>
  <c r="H19" i="47"/>
  <c r="G19" i="47" s="1"/>
  <c r="O35" i="49"/>
  <c r="P14" i="49"/>
  <c r="F12" i="47"/>
  <c r="N17" i="48"/>
  <c r="H9" i="49"/>
  <c r="G9" i="49" s="1"/>
  <c r="K9" i="49"/>
  <c r="J9" i="49" s="1"/>
  <c r="H18" i="49"/>
  <c r="G18" i="49" s="1"/>
  <c r="K18" i="49"/>
  <c r="J18" i="49" s="1"/>
  <c r="O37" i="49"/>
  <c r="P16" i="49"/>
  <c r="K13" i="49"/>
  <c r="J13" i="49" s="1"/>
  <c r="H13" i="49"/>
  <c r="G13" i="49" s="1"/>
  <c r="K5" i="49"/>
  <c r="H5" i="49"/>
  <c r="E20" i="49"/>
  <c r="C20" i="49"/>
  <c r="F5" i="49"/>
  <c r="N17" i="46"/>
  <c r="F10" i="49"/>
  <c r="N15" i="48"/>
  <c r="I20" i="49"/>
  <c r="O38" i="49"/>
  <c r="P17" i="49"/>
  <c r="H17" i="46"/>
  <c r="G17" i="46" s="1"/>
  <c r="H17" i="47"/>
  <c r="G17" i="47" s="1"/>
  <c r="H14" i="48"/>
  <c r="G14" i="48" s="1"/>
  <c r="N9" i="48"/>
  <c r="H9" i="48"/>
  <c r="G9" i="48" s="1"/>
  <c r="K10" i="49"/>
  <c r="J10" i="49" s="1"/>
  <c r="H10" i="49"/>
  <c r="G10" i="49" s="1"/>
  <c r="N11" i="47"/>
  <c r="F9" i="49"/>
  <c r="F15" i="46"/>
  <c r="O30" i="48"/>
  <c r="K12" i="49"/>
  <c r="J12" i="49" s="1"/>
  <c r="H12" i="49"/>
  <c r="G12" i="49" s="1"/>
  <c r="F12" i="49"/>
  <c r="P12" i="48"/>
  <c r="O33" i="48"/>
  <c r="P10" i="48"/>
  <c r="O31" i="48"/>
  <c r="K16" i="47"/>
  <c r="F8" i="47"/>
  <c r="I20" i="48"/>
  <c r="H11" i="48"/>
  <c r="G11" i="48" s="1"/>
  <c r="N12" i="48"/>
  <c r="K13" i="48"/>
  <c r="J13" i="48" s="1"/>
  <c r="H13" i="48"/>
  <c r="G13" i="48" s="1"/>
  <c r="N10" i="48"/>
  <c r="H10" i="47"/>
  <c r="G10" i="47" s="1"/>
  <c r="N19" i="47"/>
  <c r="G10" i="48"/>
  <c r="F10" i="46"/>
  <c r="F19" i="47"/>
  <c r="O36" i="48"/>
  <c r="P15" i="48"/>
  <c r="K10" i="45"/>
  <c r="F10" i="47"/>
  <c r="P11" i="47"/>
  <c r="G9" i="47"/>
  <c r="H17" i="48"/>
  <c r="G17" i="48" s="1"/>
  <c r="P7" i="48"/>
  <c r="F11" i="46"/>
  <c r="F16" i="47"/>
  <c r="C20" i="48"/>
  <c r="F5" i="48"/>
  <c r="O28" i="48"/>
  <c r="O35" i="48"/>
  <c r="P14" i="48"/>
  <c r="H10" i="46"/>
  <c r="G10" i="46" s="1"/>
  <c r="F13" i="46"/>
  <c r="O38" i="48"/>
  <c r="P17" i="48"/>
  <c r="K19" i="46"/>
  <c r="N19" i="46" s="1"/>
  <c r="K5" i="48"/>
  <c r="H5" i="48"/>
  <c r="E20" i="48"/>
  <c r="F13" i="48"/>
  <c r="H15" i="46"/>
  <c r="G15" i="46" s="1"/>
  <c r="H14" i="46"/>
  <c r="G14" i="46" s="1"/>
  <c r="F6" i="48"/>
  <c r="H18" i="48"/>
  <c r="G18" i="48" s="1"/>
  <c r="K18" i="48"/>
  <c r="J18" i="48" s="1"/>
  <c r="F18" i="48"/>
  <c r="N14" i="48"/>
  <c r="K6" i="48"/>
  <c r="J6" i="48" s="1"/>
  <c r="H6" i="48"/>
  <c r="G6" i="48" s="1"/>
  <c r="H5" i="47"/>
  <c r="G5" i="47" s="1"/>
  <c r="K5" i="47"/>
  <c r="O34" i="47"/>
  <c r="P13" i="47"/>
  <c r="H10" i="45"/>
  <c r="H11" i="45"/>
  <c r="P14" i="47"/>
  <c r="O35" i="47"/>
  <c r="N13" i="47"/>
  <c r="F15" i="45"/>
  <c r="H18" i="47"/>
  <c r="G18" i="47" s="1"/>
  <c r="K18" i="47"/>
  <c r="J18" i="47" s="1"/>
  <c r="H17" i="45"/>
  <c r="J17" i="47"/>
  <c r="F7" i="45"/>
  <c r="C20" i="47"/>
  <c r="F5" i="47"/>
  <c r="J10" i="47"/>
  <c r="K16" i="45"/>
  <c r="N16" i="45" s="1"/>
  <c r="K15" i="47"/>
  <c r="J15" i="47" s="1"/>
  <c r="H15" i="47"/>
  <c r="G15" i="47" s="1"/>
  <c r="K14" i="45"/>
  <c r="N14" i="45" s="1"/>
  <c r="G7" i="45"/>
  <c r="P19" i="47"/>
  <c r="O40" i="47"/>
  <c r="K15" i="45"/>
  <c r="N15" i="45" s="1"/>
  <c r="J7" i="45"/>
  <c r="P7" i="45" s="1"/>
  <c r="F9" i="46"/>
  <c r="E20" i="47"/>
  <c r="K6" i="47"/>
  <c r="N6" i="47" s="1"/>
  <c r="H6" i="47"/>
  <c r="H15" i="45"/>
  <c r="F7" i="47"/>
  <c r="F18" i="47"/>
  <c r="N8" i="47"/>
  <c r="F14" i="45"/>
  <c r="F19" i="45"/>
  <c r="F18" i="45"/>
  <c r="O29" i="47"/>
  <c r="P8" i="47"/>
  <c r="K7" i="47"/>
  <c r="J7" i="47" s="1"/>
  <c r="H7" i="47"/>
  <c r="G7" i="47" s="1"/>
  <c r="N14" i="47"/>
  <c r="F10" i="45"/>
  <c r="F6" i="47"/>
  <c r="I20" i="47"/>
  <c r="N10" i="46"/>
  <c r="J10" i="46"/>
  <c r="O31" i="46" s="1"/>
  <c r="N8" i="46"/>
  <c r="F14" i="46"/>
  <c r="E20" i="46"/>
  <c r="F19" i="46"/>
  <c r="F7" i="46"/>
  <c r="K16" i="46"/>
  <c r="J16" i="46" s="1"/>
  <c r="P16" i="46" s="1"/>
  <c r="H16" i="46"/>
  <c r="G16" i="46" s="1"/>
  <c r="K6" i="46"/>
  <c r="J6" i="46" s="1"/>
  <c r="O27" i="46" s="1"/>
  <c r="J13" i="46"/>
  <c r="O34" i="46" s="1"/>
  <c r="H5" i="46"/>
  <c r="G5" i="46" s="1"/>
  <c r="N9" i="46"/>
  <c r="K14" i="46"/>
  <c r="J14" i="46" s="1"/>
  <c r="J5" i="46"/>
  <c r="O26" i="46" s="1"/>
  <c r="K11" i="46"/>
  <c r="J11" i="46" s="1"/>
  <c r="H7" i="46"/>
  <c r="G7" i="46" s="1"/>
  <c r="K7" i="46"/>
  <c r="P9" i="46"/>
  <c r="O30" i="46"/>
  <c r="F11" i="45"/>
  <c r="F6" i="45"/>
  <c r="J15" i="46"/>
  <c r="O38" i="46"/>
  <c r="P17" i="46"/>
  <c r="H9" i="45"/>
  <c r="G9" i="45" s="1"/>
  <c r="H16" i="45"/>
  <c r="H8" i="45"/>
  <c r="K18" i="46"/>
  <c r="J18" i="46" s="1"/>
  <c r="H18" i="46"/>
  <c r="G18" i="46" s="1"/>
  <c r="H14" i="45"/>
  <c r="K12" i="46"/>
  <c r="J12" i="46" s="1"/>
  <c r="H12" i="46"/>
  <c r="G12" i="46" s="1"/>
  <c r="I20" i="46"/>
  <c r="K11" i="45"/>
  <c r="C20" i="46"/>
  <c r="F5" i="46"/>
  <c r="F18" i="46"/>
  <c r="K17" i="45"/>
  <c r="F16" i="46"/>
  <c r="H13" i="46"/>
  <c r="G13" i="46" s="1"/>
  <c r="P8" i="46"/>
  <c r="O29" i="46"/>
  <c r="H9" i="46"/>
  <c r="G9" i="46" s="1"/>
  <c r="H19" i="45"/>
  <c r="K19" i="45"/>
  <c r="F8" i="45"/>
  <c r="K6" i="45"/>
  <c r="H6" i="45"/>
  <c r="F17" i="45"/>
  <c r="F16" i="45"/>
  <c r="K8" i="45"/>
  <c r="F9" i="45"/>
  <c r="J9" i="45"/>
  <c r="N9" i="45"/>
  <c r="N7" i="45"/>
  <c r="F12" i="45"/>
  <c r="K12" i="45"/>
  <c r="H12" i="45"/>
  <c r="K5" i="45"/>
  <c r="E20" i="45"/>
  <c r="F13" i="45"/>
  <c r="K18" i="45"/>
  <c r="H18" i="45"/>
  <c r="F5" i="45"/>
  <c r="C20" i="45"/>
  <c r="I20" i="45"/>
  <c r="K13" i="45"/>
  <c r="H13" i="45"/>
  <c r="A67" i="3"/>
  <c r="C5" i="4"/>
  <c r="D4" i="2"/>
  <c r="N13" i="54" l="1"/>
  <c r="N11" i="54"/>
  <c r="N15" i="54"/>
  <c r="N19" i="54"/>
  <c r="N17" i="54"/>
  <c r="N9" i="54"/>
  <c r="N12" i="54"/>
  <c r="N14" i="54"/>
  <c r="N10" i="54"/>
  <c r="N16" i="54"/>
  <c r="N18" i="54"/>
  <c r="N8" i="54"/>
  <c r="N5" i="54"/>
  <c r="C28" i="55"/>
  <c r="G5" i="55"/>
  <c r="F5" i="55" s="1"/>
  <c r="O26" i="54"/>
  <c r="T14" i="55"/>
  <c r="T34" i="55"/>
  <c r="P6" i="52"/>
  <c r="P14" i="52"/>
  <c r="N8" i="49"/>
  <c r="J5" i="55"/>
  <c r="N5" i="55" s="1"/>
  <c r="O31" i="51"/>
  <c r="O36" i="49"/>
  <c r="O30" i="47"/>
  <c r="O32" i="52"/>
  <c r="O40" i="53"/>
  <c r="O32" i="48"/>
  <c r="O31" i="52"/>
  <c r="N14" i="52"/>
  <c r="P8" i="53"/>
  <c r="N11" i="53"/>
  <c r="P16" i="52"/>
  <c r="P19" i="51"/>
  <c r="N10" i="51"/>
  <c r="J8" i="51"/>
  <c r="P8" i="51" s="1"/>
  <c r="P11" i="50"/>
  <c r="O39" i="50"/>
  <c r="N11" i="50"/>
  <c r="O29" i="49"/>
  <c r="N15" i="49"/>
  <c r="O31" i="53"/>
  <c r="P11" i="51"/>
  <c r="P19" i="48"/>
  <c r="F20" i="53"/>
  <c r="J8" i="48"/>
  <c r="P8" i="48" s="1"/>
  <c r="N10" i="52"/>
  <c r="P11" i="53"/>
  <c r="O32" i="53"/>
  <c r="G20" i="53"/>
  <c r="O34" i="52"/>
  <c r="P13" i="52"/>
  <c r="P12" i="53"/>
  <c r="O33" i="53"/>
  <c r="N13" i="52"/>
  <c r="N12" i="53"/>
  <c r="O27" i="53"/>
  <c r="P6" i="53"/>
  <c r="N6" i="53"/>
  <c r="O34" i="53"/>
  <c r="P13" i="53"/>
  <c r="N18" i="52"/>
  <c r="N13" i="53"/>
  <c r="P18" i="53"/>
  <c r="O39" i="53"/>
  <c r="O36" i="53"/>
  <c r="P15" i="53"/>
  <c r="N18" i="53"/>
  <c r="N15" i="53"/>
  <c r="P18" i="52"/>
  <c r="N12" i="52"/>
  <c r="J12" i="52"/>
  <c r="H20" i="53"/>
  <c r="J5" i="53"/>
  <c r="K20" i="53"/>
  <c r="O36" i="52"/>
  <c r="P15" i="52"/>
  <c r="N7" i="52"/>
  <c r="N12" i="51"/>
  <c r="O28" i="52"/>
  <c r="P7" i="52"/>
  <c r="N7" i="50"/>
  <c r="P14" i="50"/>
  <c r="F20" i="52"/>
  <c r="H20" i="52"/>
  <c r="G5" i="52"/>
  <c r="G20" i="52" s="1"/>
  <c r="O30" i="52"/>
  <c r="P9" i="52"/>
  <c r="K20" i="52"/>
  <c r="J5" i="52"/>
  <c r="N9" i="52"/>
  <c r="N6" i="50"/>
  <c r="N5" i="52"/>
  <c r="H20" i="51"/>
  <c r="G5" i="51"/>
  <c r="G20" i="51" s="1"/>
  <c r="N13" i="50"/>
  <c r="K20" i="51"/>
  <c r="J5" i="51"/>
  <c r="N13" i="49"/>
  <c r="P12" i="51"/>
  <c r="O33" i="51"/>
  <c r="P5" i="46"/>
  <c r="P18" i="51"/>
  <c r="O39" i="51"/>
  <c r="N12" i="49"/>
  <c r="N18" i="51"/>
  <c r="O34" i="51"/>
  <c r="P13" i="51"/>
  <c r="N13" i="51"/>
  <c r="F20" i="51"/>
  <c r="J10" i="45"/>
  <c r="O31" i="45" s="1"/>
  <c r="O27" i="50"/>
  <c r="P6" i="50"/>
  <c r="N9" i="49"/>
  <c r="O30" i="50"/>
  <c r="P9" i="50"/>
  <c r="H20" i="50"/>
  <c r="G5" i="50"/>
  <c r="G20" i="50" s="1"/>
  <c r="N10" i="49"/>
  <c r="K20" i="50"/>
  <c r="J5" i="50"/>
  <c r="P19" i="50"/>
  <c r="O40" i="50"/>
  <c r="O36" i="50"/>
  <c r="P15" i="50"/>
  <c r="P10" i="50"/>
  <c r="O31" i="50"/>
  <c r="N12" i="50"/>
  <c r="P12" i="50"/>
  <c r="O33" i="50"/>
  <c r="O28" i="50"/>
  <c r="P7" i="50"/>
  <c r="P13" i="50"/>
  <c r="O34" i="50"/>
  <c r="N10" i="45"/>
  <c r="N13" i="48"/>
  <c r="N19" i="49"/>
  <c r="J19" i="49"/>
  <c r="J16" i="45"/>
  <c r="O37" i="45" s="1"/>
  <c r="F20" i="50"/>
  <c r="J12" i="47"/>
  <c r="O33" i="47" s="1"/>
  <c r="H20" i="49"/>
  <c r="G5" i="49"/>
  <c r="G20" i="49" s="1"/>
  <c r="J16" i="48"/>
  <c r="N16" i="48"/>
  <c r="K20" i="49"/>
  <c r="J5" i="49"/>
  <c r="N5" i="49"/>
  <c r="P12" i="49"/>
  <c r="O33" i="49"/>
  <c r="O34" i="49"/>
  <c r="P13" i="49"/>
  <c r="F20" i="48"/>
  <c r="N7" i="49"/>
  <c r="O28" i="49"/>
  <c r="P7" i="49"/>
  <c r="N7" i="47"/>
  <c r="P18" i="49"/>
  <c r="O39" i="49"/>
  <c r="J19" i="46"/>
  <c r="F20" i="49"/>
  <c r="N18" i="49"/>
  <c r="P10" i="49"/>
  <c r="O31" i="49"/>
  <c r="O30" i="49"/>
  <c r="P9" i="49"/>
  <c r="N16" i="47"/>
  <c r="J16" i="47"/>
  <c r="N5" i="47"/>
  <c r="J5" i="47"/>
  <c r="P13" i="46"/>
  <c r="O34" i="48"/>
  <c r="P13" i="48"/>
  <c r="N6" i="48"/>
  <c r="H20" i="48"/>
  <c r="J5" i="48"/>
  <c r="K20" i="48"/>
  <c r="O27" i="48"/>
  <c r="P6" i="48"/>
  <c r="N5" i="48"/>
  <c r="P18" i="48"/>
  <c r="O39" i="48"/>
  <c r="N18" i="48"/>
  <c r="G5" i="48"/>
  <c r="G20" i="48" s="1"/>
  <c r="J6" i="45"/>
  <c r="P6" i="45" s="1"/>
  <c r="G8" i="45"/>
  <c r="N15" i="47"/>
  <c r="N14" i="46"/>
  <c r="J19" i="45"/>
  <c r="P19" i="45" s="1"/>
  <c r="N18" i="47"/>
  <c r="O36" i="47"/>
  <c r="P15" i="47"/>
  <c r="J12" i="45"/>
  <c r="G16" i="45"/>
  <c r="G19" i="45"/>
  <c r="P18" i="47"/>
  <c r="O39" i="47"/>
  <c r="J18" i="45"/>
  <c r="P6" i="46"/>
  <c r="J17" i="45"/>
  <c r="J6" i="47"/>
  <c r="K20" i="47"/>
  <c r="G18" i="45"/>
  <c r="G17" i="45"/>
  <c r="P10" i="47"/>
  <c r="O31" i="47"/>
  <c r="G12" i="45"/>
  <c r="J15" i="45"/>
  <c r="P10" i="46"/>
  <c r="F20" i="47"/>
  <c r="G15" i="45"/>
  <c r="O28" i="45"/>
  <c r="G14" i="45"/>
  <c r="P7" i="47"/>
  <c r="O28" i="47"/>
  <c r="G6" i="45"/>
  <c r="H20" i="47"/>
  <c r="G6" i="47"/>
  <c r="G20" i="47" s="1"/>
  <c r="G13" i="45"/>
  <c r="J8" i="45"/>
  <c r="P8" i="45" s="1"/>
  <c r="J13" i="45"/>
  <c r="G11" i="45"/>
  <c r="G10" i="45"/>
  <c r="N5" i="45"/>
  <c r="O37" i="46"/>
  <c r="J14" i="45"/>
  <c r="O38" i="47"/>
  <c r="P17" i="47"/>
  <c r="G20" i="46"/>
  <c r="N18" i="46"/>
  <c r="N16" i="46"/>
  <c r="J7" i="46"/>
  <c r="N7" i="46"/>
  <c r="P11" i="46"/>
  <c r="O32" i="46"/>
  <c r="N11" i="46"/>
  <c r="O35" i="46"/>
  <c r="P14" i="46"/>
  <c r="N6" i="46"/>
  <c r="H20" i="46"/>
  <c r="K20" i="46"/>
  <c r="F20" i="46"/>
  <c r="N12" i="46"/>
  <c r="O33" i="46"/>
  <c r="P12" i="46"/>
  <c r="N17" i="45"/>
  <c r="O36" i="46"/>
  <c r="P15" i="46"/>
  <c r="N11" i="45"/>
  <c r="J11" i="45"/>
  <c r="O39" i="46"/>
  <c r="P18" i="46"/>
  <c r="N19" i="45"/>
  <c r="N8" i="45"/>
  <c r="N18" i="45"/>
  <c r="N6" i="45"/>
  <c r="F20" i="45"/>
  <c r="K20" i="45"/>
  <c r="J5" i="45"/>
  <c r="H20" i="45"/>
  <c r="G5" i="45"/>
  <c r="P9" i="45"/>
  <c r="O30" i="45"/>
  <c r="N13" i="45"/>
  <c r="N12" i="45"/>
  <c r="I3" i="34"/>
  <c r="C4" i="34"/>
  <c r="C3" i="34"/>
  <c r="I112" i="34"/>
  <c r="H112" i="34"/>
  <c r="I111" i="34"/>
  <c r="H111" i="34"/>
  <c r="I110" i="34"/>
  <c r="H110" i="34"/>
  <c r="I109" i="34"/>
  <c r="H109" i="34"/>
  <c r="I108" i="34"/>
  <c r="H108" i="34"/>
  <c r="I107" i="34"/>
  <c r="H107" i="34"/>
  <c r="I106" i="34"/>
  <c r="H106" i="34"/>
  <c r="I105" i="34"/>
  <c r="H105" i="34"/>
  <c r="I104" i="34"/>
  <c r="H104" i="34"/>
  <c r="I103" i="34"/>
  <c r="H103" i="34"/>
  <c r="I102" i="34"/>
  <c r="H102" i="34"/>
  <c r="I101" i="34"/>
  <c r="H101" i="34"/>
  <c r="I100" i="34"/>
  <c r="H100" i="34"/>
  <c r="I99" i="34"/>
  <c r="H99" i="34"/>
  <c r="I98" i="34"/>
  <c r="H98" i="34"/>
  <c r="I97" i="34"/>
  <c r="H97" i="34"/>
  <c r="I96" i="34"/>
  <c r="H96" i="34"/>
  <c r="I95" i="34"/>
  <c r="H95" i="34"/>
  <c r="I94" i="34"/>
  <c r="H94" i="34"/>
  <c r="I93" i="34"/>
  <c r="H93" i="34"/>
  <c r="I92" i="34"/>
  <c r="H92" i="34"/>
  <c r="I91" i="34"/>
  <c r="H91" i="34"/>
  <c r="I90" i="34"/>
  <c r="H90" i="34"/>
  <c r="I89" i="34"/>
  <c r="H89" i="34"/>
  <c r="I88" i="34"/>
  <c r="H88" i="34"/>
  <c r="I87" i="34"/>
  <c r="H87" i="34"/>
  <c r="I86" i="34"/>
  <c r="H86" i="34"/>
  <c r="I85" i="34"/>
  <c r="H85" i="34"/>
  <c r="I84" i="34"/>
  <c r="H84" i="34"/>
  <c r="I83" i="34"/>
  <c r="H83" i="34"/>
  <c r="I82" i="34"/>
  <c r="H82" i="34"/>
  <c r="I81" i="34"/>
  <c r="H81" i="34"/>
  <c r="I80" i="34"/>
  <c r="H80" i="34"/>
  <c r="I79" i="34"/>
  <c r="H79" i="34"/>
  <c r="I78" i="34"/>
  <c r="H78" i="34"/>
  <c r="I77" i="34"/>
  <c r="H77" i="34"/>
  <c r="I76" i="34"/>
  <c r="H76" i="34"/>
  <c r="I75" i="34"/>
  <c r="H75" i="34"/>
  <c r="I74" i="34"/>
  <c r="H74" i="34"/>
  <c r="I73" i="34"/>
  <c r="H73" i="34"/>
  <c r="I72" i="34"/>
  <c r="H72" i="34"/>
  <c r="I71" i="34"/>
  <c r="H71" i="34"/>
  <c r="I70" i="34"/>
  <c r="H70" i="34"/>
  <c r="I69" i="34"/>
  <c r="H69" i="34"/>
  <c r="I68" i="34"/>
  <c r="H68" i="34"/>
  <c r="I67" i="34"/>
  <c r="H67" i="34"/>
  <c r="I66" i="34"/>
  <c r="H66" i="34"/>
  <c r="I65" i="34"/>
  <c r="H65" i="34"/>
  <c r="I64" i="34"/>
  <c r="H64" i="34"/>
  <c r="I63" i="34"/>
  <c r="H63" i="34"/>
  <c r="I62" i="34"/>
  <c r="H62" i="34"/>
  <c r="I61" i="34"/>
  <c r="H61" i="34"/>
  <c r="I60" i="34"/>
  <c r="H60" i="34"/>
  <c r="I59" i="34"/>
  <c r="H59" i="34"/>
  <c r="I58" i="34"/>
  <c r="H58" i="34"/>
  <c r="I57" i="34"/>
  <c r="H57" i="34"/>
  <c r="I56" i="34"/>
  <c r="H56" i="34"/>
  <c r="I55" i="34"/>
  <c r="H55" i="34"/>
  <c r="I54" i="34"/>
  <c r="H54" i="34"/>
  <c r="I53" i="34"/>
  <c r="H53" i="34"/>
  <c r="I52" i="34"/>
  <c r="H52" i="34"/>
  <c r="I51" i="34"/>
  <c r="H51" i="34"/>
  <c r="I50" i="34"/>
  <c r="H50" i="34"/>
  <c r="I49" i="34"/>
  <c r="H49" i="34"/>
  <c r="I48" i="34"/>
  <c r="H48" i="34"/>
  <c r="I47" i="34"/>
  <c r="H47" i="34"/>
  <c r="I46" i="34"/>
  <c r="H46" i="34"/>
  <c r="I45" i="34"/>
  <c r="H45" i="34"/>
  <c r="I44" i="34"/>
  <c r="H44" i="34"/>
  <c r="I43" i="34"/>
  <c r="H43" i="34"/>
  <c r="I42" i="34"/>
  <c r="H42" i="34"/>
  <c r="I41" i="34"/>
  <c r="H41" i="34"/>
  <c r="I40" i="34"/>
  <c r="H40" i="34"/>
  <c r="I39" i="34"/>
  <c r="H39" i="34"/>
  <c r="I38" i="34"/>
  <c r="H38" i="34"/>
  <c r="I37" i="34"/>
  <c r="H37" i="34"/>
  <c r="I36" i="34"/>
  <c r="H36" i="34"/>
  <c r="I35" i="34"/>
  <c r="H35" i="34"/>
  <c r="I34" i="34"/>
  <c r="H34" i="34"/>
  <c r="I33" i="34"/>
  <c r="H33" i="34"/>
  <c r="I32" i="34"/>
  <c r="H32" i="34"/>
  <c r="I31" i="34"/>
  <c r="H31" i="34"/>
  <c r="I30" i="34"/>
  <c r="H30" i="34"/>
  <c r="I29" i="34"/>
  <c r="H29" i="34"/>
  <c r="I28" i="34"/>
  <c r="H28" i="34"/>
  <c r="I27" i="34"/>
  <c r="H27" i="34"/>
  <c r="I26" i="34"/>
  <c r="H26" i="34"/>
  <c r="I25" i="34"/>
  <c r="H25" i="34"/>
  <c r="I24" i="34"/>
  <c r="H24" i="34"/>
  <c r="I23" i="34"/>
  <c r="H23" i="34"/>
  <c r="I22" i="34"/>
  <c r="H22" i="34"/>
  <c r="I21" i="34"/>
  <c r="H21" i="34"/>
  <c r="I20" i="34"/>
  <c r="H20" i="34"/>
  <c r="I19" i="34"/>
  <c r="H19" i="34"/>
  <c r="I18" i="34"/>
  <c r="H18" i="34"/>
  <c r="I17" i="34"/>
  <c r="H17" i="34"/>
  <c r="I16" i="34"/>
  <c r="H16" i="34"/>
  <c r="I15" i="34"/>
  <c r="H15" i="34"/>
  <c r="I14" i="34"/>
  <c r="H14" i="34"/>
  <c r="I13" i="34"/>
  <c r="H13" i="34"/>
  <c r="E8" i="34"/>
  <c r="D8" i="34"/>
  <c r="D7" i="34"/>
  <c r="E7" i="34"/>
  <c r="G8" i="34"/>
  <c r="G7" i="34"/>
  <c r="F8" i="34"/>
  <c r="F7" i="34"/>
  <c r="G9" i="34" l="1"/>
  <c r="F9" i="34"/>
  <c r="O29" i="48"/>
  <c r="T35" i="55"/>
  <c r="T15" i="55"/>
  <c r="I5" i="55"/>
  <c r="P5" i="55" s="1"/>
  <c r="L75" i="2" s="1"/>
  <c r="P16" i="45"/>
  <c r="O29" i="51"/>
  <c r="N20" i="53"/>
  <c r="N20" i="52"/>
  <c r="P12" i="52"/>
  <c r="O33" i="52"/>
  <c r="P5" i="53"/>
  <c r="P20" i="53" s="1"/>
  <c r="O26" i="53"/>
  <c r="M43" i="53" s="1"/>
  <c r="J20" i="53"/>
  <c r="P5" i="52"/>
  <c r="O26" i="52"/>
  <c r="J20" i="52"/>
  <c r="N20" i="50"/>
  <c r="N20" i="51"/>
  <c r="P12" i="45"/>
  <c r="P5" i="51"/>
  <c r="P20" i="51" s="1"/>
  <c r="O26" i="51"/>
  <c r="J20" i="51"/>
  <c r="O33" i="45"/>
  <c r="J20" i="46"/>
  <c r="P10" i="45"/>
  <c r="O39" i="45"/>
  <c r="O40" i="49"/>
  <c r="P19" i="49"/>
  <c r="P5" i="50"/>
  <c r="P20" i="50" s="1"/>
  <c r="O26" i="50"/>
  <c r="M43" i="50" s="1"/>
  <c r="J20" i="50"/>
  <c r="P12" i="47"/>
  <c r="N20" i="47"/>
  <c r="P18" i="45"/>
  <c r="N20" i="49"/>
  <c r="P5" i="49"/>
  <c r="O26" i="49"/>
  <c r="J20" i="49"/>
  <c r="P19" i="46"/>
  <c r="O40" i="46"/>
  <c r="O37" i="48"/>
  <c r="P16" i="48"/>
  <c r="N20" i="48"/>
  <c r="O34" i="45"/>
  <c r="P5" i="48"/>
  <c r="O26" i="48"/>
  <c r="J20" i="48"/>
  <c r="P13" i="45"/>
  <c r="O26" i="47"/>
  <c r="P5" i="47"/>
  <c r="P16" i="47"/>
  <c r="O37" i="47"/>
  <c r="G20" i="45"/>
  <c r="O27" i="45"/>
  <c r="O29" i="45"/>
  <c r="O27" i="47"/>
  <c r="P6" i="47"/>
  <c r="J20" i="47"/>
  <c r="P17" i="45"/>
  <c r="O38" i="45"/>
  <c r="O40" i="45"/>
  <c r="O36" i="45"/>
  <c r="P15" i="45"/>
  <c r="O35" i="45"/>
  <c r="P14" i="45"/>
  <c r="N20" i="46"/>
  <c r="O28" i="46"/>
  <c r="P7" i="46"/>
  <c r="P11" i="45"/>
  <c r="O32" i="45"/>
  <c r="N20" i="45"/>
  <c r="O26" i="45"/>
  <c r="J20" i="45"/>
  <c r="P5" i="45"/>
  <c r="D9" i="34"/>
  <c r="E9" i="34"/>
  <c r="I12" i="34"/>
  <c r="H12" i="34"/>
  <c r="H7" i="34" s="1"/>
  <c r="H8" i="34" l="1"/>
  <c r="H9" i="34" s="1"/>
  <c r="T16" i="55"/>
  <c r="T36" i="55"/>
  <c r="M43" i="49"/>
  <c r="N42" i="49" s="1"/>
  <c r="M43" i="51"/>
  <c r="N43" i="51" s="1"/>
  <c r="P20" i="49"/>
  <c r="M43" i="52"/>
  <c r="N43" i="52" s="1"/>
  <c r="M43" i="46"/>
  <c r="N43" i="46" s="1"/>
  <c r="N43" i="53"/>
  <c r="N42" i="53"/>
  <c r="M42" i="53"/>
  <c r="C42" i="53"/>
  <c r="P20" i="52"/>
  <c r="P20" i="46"/>
  <c r="C42" i="50"/>
  <c r="N43" i="50"/>
  <c r="N42" i="50"/>
  <c r="M42" i="50"/>
  <c r="M43" i="48"/>
  <c r="N43" i="48" s="1"/>
  <c r="P20" i="47"/>
  <c r="P20" i="48"/>
  <c r="M43" i="45"/>
  <c r="C42" i="45" s="1"/>
  <c r="M43" i="47"/>
  <c r="N43" i="47" s="1"/>
  <c r="P20" i="45"/>
  <c r="I7" i="34"/>
  <c r="I8" i="34"/>
  <c r="T37" i="55" l="1"/>
  <c r="T17" i="55"/>
  <c r="C42" i="49"/>
  <c r="C42" i="46"/>
  <c r="C42" i="51"/>
  <c r="M42" i="49"/>
  <c r="N43" i="49"/>
  <c r="N42" i="51"/>
  <c r="M42" i="51"/>
  <c r="N42" i="46"/>
  <c r="M42" i="46"/>
  <c r="C42" i="52"/>
  <c r="M42" i="52"/>
  <c r="N42" i="52"/>
  <c r="C42" i="48"/>
  <c r="M42" i="48"/>
  <c r="N42" i="48"/>
  <c r="C42" i="47"/>
  <c r="M42" i="47"/>
  <c r="N42" i="47"/>
  <c r="N42" i="45"/>
  <c r="M42" i="45"/>
  <c r="N43" i="45"/>
  <c r="I9" i="34"/>
  <c r="M75" i="2"/>
  <c r="A47" i="3" a="1"/>
  <c r="A53" i="3" s="1"/>
  <c r="A14" i="3" a="1"/>
  <c r="A25" i="3" s="1"/>
  <c r="B56" i="2" a="1"/>
  <c r="B63" i="2" s="1"/>
  <c r="B34" i="2" a="1"/>
  <c r="B40" i="2" s="1"/>
  <c r="C33" i="2" a="1"/>
  <c r="J33" i="2" s="1"/>
  <c r="C55" i="2" a="1"/>
  <c r="G55" i="2" s="1"/>
  <c r="C77" i="2" a="1"/>
  <c r="C77" i="2" s="1"/>
  <c r="T18" i="55" l="1"/>
  <c r="T38" i="55"/>
  <c r="B39" i="2"/>
  <c r="A47" i="3"/>
  <c r="A54" i="3"/>
  <c r="A55" i="3"/>
  <c r="A57" i="3"/>
  <c r="A58" i="3"/>
  <c r="A59" i="3"/>
  <c r="A60" i="3"/>
  <c r="A61" i="3"/>
  <c r="A48" i="3"/>
  <c r="A49" i="3"/>
  <c r="A50" i="3"/>
  <c r="A56" i="3"/>
  <c r="A51" i="3"/>
  <c r="A52" i="3"/>
  <c r="A14" i="3"/>
  <c r="A27" i="3"/>
  <c r="A15" i="3"/>
  <c r="A16" i="3"/>
  <c r="A17" i="3"/>
  <c r="A26" i="3"/>
  <c r="A20" i="3"/>
  <c r="A21" i="3"/>
  <c r="A28" i="3"/>
  <c r="A18" i="3"/>
  <c r="A19" i="3"/>
  <c r="A22" i="3"/>
  <c r="A23" i="3"/>
  <c r="A24" i="3"/>
  <c r="B56" i="2"/>
  <c r="B57" i="2"/>
  <c r="B64" i="2"/>
  <c r="B66" i="2"/>
  <c r="B67" i="2"/>
  <c r="B68" i="2"/>
  <c r="B70" i="2"/>
  <c r="B58" i="2"/>
  <c r="B59" i="2"/>
  <c r="B65" i="2"/>
  <c r="B69" i="2"/>
  <c r="B60" i="2"/>
  <c r="B61" i="2"/>
  <c r="B62" i="2"/>
  <c r="B48" i="2"/>
  <c r="B38" i="2"/>
  <c r="B37" i="2"/>
  <c r="B36" i="2"/>
  <c r="B35" i="2"/>
  <c r="B34" i="2"/>
  <c r="B47" i="2"/>
  <c r="B46" i="2"/>
  <c r="B45" i="2"/>
  <c r="B44" i="2"/>
  <c r="B43" i="2"/>
  <c r="B42" i="2"/>
  <c r="B41" i="2"/>
  <c r="K33" i="2"/>
  <c r="L33" i="2"/>
  <c r="C33" i="2"/>
  <c r="D33" i="2"/>
  <c r="E33" i="2"/>
  <c r="F33" i="2"/>
  <c r="G33" i="2"/>
  <c r="H33" i="2"/>
  <c r="I33" i="2"/>
  <c r="H55" i="2"/>
  <c r="K55" i="2"/>
  <c r="L55" i="2"/>
  <c r="J55" i="2"/>
  <c r="C55" i="2"/>
  <c r="D55" i="2"/>
  <c r="E55" i="2"/>
  <c r="I55" i="2"/>
  <c r="F55" i="2"/>
  <c r="L77" i="2"/>
  <c r="K77" i="2"/>
  <c r="J77" i="2"/>
  <c r="I77" i="2"/>
  <c r="H77" i="2"/>
  <c r="G77" i="2"/>
  <c r="F77" i="2"/>
  <c r="E77" i="2"/>
  <c r="D77" i="2"/>
  <c r="B73" i="2"/>
  <c r="T39" i="55" l="1"/>
  <c r="T19" i="55"/>
  <c r="A64" i="3"/>
  <c r="E40" i="3"/>
  <c r="E39" i="3"/>
  <c r="B40" i="3"/>
  <c r="B39" i="3"/>
  <c r="B38" i="3"/>
  <c r="A40" i="3"/>
  <c r="A39" i="3"/>
  <c r="A38" i="3"/>
  <c r="A43" i="3"/>
  <c r="A42" i="3"/>
  <c r="E37" i="3"/>
  <c r="A10" i="3"/>
  <c r="A9" i="3"/>
  <c r="E7" i="3"/>
  <c r="T20" i="55" l="1"/>
  <c r="T21" i="55" s="1"/>
  <c r="T40" i="55"/>
  <c r="E9" i="3"/>
  <c r="E42" i="3"/>
  <c r="E6" i="3"/>
  <c r="E4" i="3"/>
  <c r="B7" i="3"/>
  <c r="B6" i="3"/>
  <c r="B5" i="3"/>
  <c r="A7" i="3"/>
  <c r="A6" i="3"/>
  <c r="A5" i="3"/>
  <c r="L71" i="2"/>
  <c r="K71" i="2"/>
  <c r="J71" i="2"/>
  <c r="I71" i="2"/>
  <c r="H71" i="2"/>
  <c r="G71" i="2"/>
  <c r="F71" i="2"/>
  <c r="E71" i="2"/>
  <c r="D71" i="2"/>
  <c r="C71" i="2"/>
  <c r="M70" i="2"/>
  <c r="M69" i="2"/>
  <c r="M68" i="2"/>
  <c r="M67" i="2"/>
  <c r="M66" i="2"/>
  <c r="M65" i="2"/>
  <c r="M64" i="2"/>
  <c r="M63" i="2"/>
  <c r="M62" i="2"/>
  <c r="M61" i="2"/>
  <c r="M60" i="2"/>
  <c r="M59" i="2"/>
  <c r="M58" i="2"/>
  <c r="M57" i="2"/>
  <c r="M56" i="2"/>
  <c r="M48" i="2"/>
  <c r="M47" i="2"/>
  <c r="M46" i="2"/>
  <c r="M45" i="2"/>
  <c r="M44" i="2"/>
  <c r="M43" i="2"/>
  <c r="M42" i="2"/>
  <c r="M41" i="2"/>
  <c r="M40" i="2"/>
  <c r="M39" i="2"/>
  <c r="M38" i="2"/>
  <c r="M37" i="2"/>
  <c r="M36" i="2"/>
  <c r="M35" i="2"/>
  <c r="M34" i="2"/>
  <c r="L49" i="2"/>
  <c r="K49" i="2"/>
  <c r="J49" i="2"/>
  <c r="I49" i="2"/>
  <c r="H49" i="2"/>
  <c r="G49" i="2"/>
  <c r="F49" i="2"/>
  <c r="E49" i="2"/>
  <c r="D49" i="2"/>
  <c r="C49" i="2"/>
  <c r="F3" i="1" a="1"/>
  <c r="L3" i="1" s="1"/>
  <c r="T41" i="55" l="1"/>
  <c r="T22" i="55"/>
  <c r="T42" i="55"/>
  <c r="M71" i="2"/>
  <c r="M49" i="2"/>
  <c r="K3" i="1"/>
  <c r="J3" i="1"/>
  <c r="I3" i="1"/>
  <c r="H3" i="1"/>
  <c r="G3" i="1"/>
  <c r="F3" i="1"/>
  <c r="Q3" i="1"/>
  <c r="P3" i="1"/>
  <c r="O3" i="1"/>
  <c r="N3" i="1"/>
  <c r="M3" i="1"/>
  <c r="C9" i="55" l="1" a="1"/>
  <c r="I9" i="55" s="1"/>
  <c r="T9" i="55" a="1"/>
  <c r="Z9" i="55" s="1"/>
  <c r="T30" i="55" a="1"/>
  <c r="Z30" i="55" s="1"/>
  <c r="AE9" i="55"/>
  <c r="B8" i="4"/>
  <c r="K4" i="4" a="1"/>
  <c r="E4" i="56"/>
  <c r="G3" i="54"/>
  <c r="F3" i="55"/>
  <c r="C9" i="55"/>
  <c r="U9" i="55"/>
  <c r="U30" i="55"/>
  <c r="V9" i="55"/>
  <c r="E9" i="55"/>
  <c r="F9" i="55"/>
  <c r="W30" i="55"/>
  <c r="X9" i="55"/>
  <c r="X30" i="55"/>
  <c r="Y30" i="55"/>
  <c r="J9" i="55"/>
  <c r="AA30" i="55"/>
  <c r="AA9" i="55"/>
  <c r="AB30" i="55"/>
  <c r="AB9" i="55"/>
  <c r="AC9" i="55"/>
  <c r="T43" i="55"/>
  <c r="T23" i="55"/>
  <c r="C24" i="54" a="1"/>
  <c r="C44" i="54" a="1"/>
  <c r="G3" i="53"/>
  <c r="U3" i="54"/>
  <c r="C24" i="53" a="1"/>
  <c r="C44" i="53" a="1"/>
  <c r="C24" i="52" a="1"/>
  <c r="C44" i="52" a="1"/>
  <c r="G3" i="51"/>
  <c r="G3" i="52"/>
  <c r="C24" i="51" a="1"/>
  <c r="C44" i="51" a="1"/>
  <c r="C24" i="50" a="1"/>
  <c r="C44" i="50" a="1"/>
  <c r="G3" i="49"/>
  <c r="G3" i="50"/>
  <c r="C24" i="49" a="1"/>
  <c r="C44" i="49" a="1"/>
  <c r="C24" i="48" a="1"/>
  <c r="C44" i="48" a="1"/>
  <c r="G3" i="47"/>
  <c r="G3" i="48"/>
  <c r="C24" i="47" a="1"/>
  <c r="C44" i="47" a="1"/>
  <c r="G3" i="45"/>
  <c r="G3" i="46"/>
  <c r="C24" i="46" a="1"/>
  <c r="C44" i="46" a="1"/>
  <c r="C24" i="45" a="1"/>
  <c r="C44" i="45" a="1"/>
  <c r="I13" i="1"/>
  <c r="F65" i="3"/>
  <c r="F32" i="3"/>
  <c r="AC30" i="55" l="1"/>
  <c r="H9" i="55"/>
  <c r="W9" i="55"/>
  <c r="T30" i="55"/>
  <c r="AE30" i="55"/>
  <c r="L9" i="55"/>
  <c r="Y9" i="55"/>
  <c r="V30" i="55"/>
  <c r="T9" i="55"/>
  <c r="N9" i="55"/>
  <c r="AD30" i="55"/>
  <c r="AD9" i="55"/>
  <c r="K9" i="55"/>
  <c r="G9" i="55"/>
  <c r="D9" i="55"/>
  <c r="M9" i="55"/>
  <c r="K4" i="4"/>
  <c r="N4" i="4"/>
  <c r="U4" i="4"/>
  <c r="R4" i="4"/>
  <c r="Q4" i="4"/>
  <c r="M4" i="4"/>
  <c r="T4" i="4"/>
  <c r="S4" i="4"/>
  <c r="P4" i="4"/>
  <c r="L4" i="4"/>
  <c r="V4" i="4"/>
  <c r="O4" i="4"/>
  <c r="T44" i="55"/>
  <c r="T24" i="55"/>
  <c r="J44" i="54"/>
  <c r="I44" i="54"/>
  <c r="H44" i="54"/>
  <c r="G44" i="54"/>
  <c r="F44" i="54"/>
  <c r="E44" i="54"/>
  <c r="D44" i="54"/>
  <c r="C44" i="54"/>
  <c r="N44" i="54"/>
  <c r="M44" i="54"/>
  <c r="L44" i="54"/>
  <c r="K44" i="54"/>
  <c r="G24" i="54"/>
  <c r="F24" i="54"/>
  <c r="E24" i="54"/>
  <c r="D24" i="54"/>
  <c r="C24" i="54"/>
  <c r="N24" i="54"/>
  <c r="M24" i="54"/>
  <c r="L24" i="54"/>
  <c r="K24" i="54"/>
  <c r="J24" i="54"/>
  <c r="I24" i="54"/>
  <c r="H24" i="54"/>
  <c r="G24" i="53"/>
  <c r="F24" i="53"/>
  <c r="E24" i="53"/>
  <c r="D24" i="53"/>
  <c r="C24" i="53"/>
  <c r="N24" i="53"/>
  <c r="M24" i="53"/>
  <c r="L24" i="53"/>
  <c r="K24" i="53"/>
  <c r="J24" i="53"/>
  <c r="I24" i="53"/>
  <c r="H24" i="53"/>
  <c r="J44" i="53"/>
  <c r="I44" i="53"/>
  <c r="H44" i="53"/>
  <c r="G44" i="53"/>
  <c r="F44" i="53"/>
  <c r="E44" i="53"/>
  <c r="D44" i="53"/>
  <c r="C44" i="53"/>
  <c r="N44" i="53"/>
  <c r="M44" i="53"/>
  <c r="L44" i="53"/>
  <c r="K44" i="53"/>
  <c r="J44" i="52"/>
  <c r="I44" i="52"/>
  <c r="H44" i="52"/>
  <c r="G44" i="52"/>
  <c r="F44" i="52"/>
  <c r="E44" i="52"/>
  <c r="D44" i="52"/>
  <c r="C44" i="52"/>
  <c r="K44" i="52"/>
  <c r="N44" i="52"/>
  <c r="M44" i="52"/>
  <c r="L44" i="52"/>
  <c r="G24" i="52"/>
  <c r="F24" i="52"/>
  <c r="E24" i="52"/>
  <c r="D24" i="52"/>
  <c r="C24" i="52"/>
  <c r="H24" i="52"/>
  <c r="N24" i="52"/>
  <c r="M24" i="52"/>
  <c r="L24" i="52"/>
  <c r="K24" i="52"/>
  <c r="J24" i="52"/>
  <c r="I24" i="52"/>
  <c r="J44" i="51"/>
  <c r="I44" i="51"/>
  <c r="H44" i="51"/>
  <c r="G44" i="51"/>
  <c r="F44" i="51"/>
  <c r="E44" i="51"/>
  <c r="D44" i="51"/>
  <c r="C44" i="51"/>
  <c r="N44" i="51"/>
  <c r="M44" i="51"/>
  <c r="L44" i="51"/>
  <c r="K44" i="51"/>
  <c r="G24" i="51"/>
  <c r="F24" i="51"/>
  <c r="E24" i="51"/>
  <c r="D24" i="51"/>
  <c r="C24" i="51"/>
  <c r="N24" i="51"/>
  <c r="M24" i="51"/>
  <c r="L24" i="51"/>
  <c r="K24" i="51"/>
  <c r="J24" i="51"/>
  <c r="I24" i="51"/>
  <c r="H24" i="51"/>
  <c r="J44" i="50"/>
  <c r="I44" i="50"/>
  <c r="H44" i="50"/>
  <c r="G44" i="50"/>
  <c r="F44" i="50"/>
  <c r="E44" i="50"/>
  <c r="D44" i="50"/>
  <c r="C44" i="50"/>
  <c r="N44" i="50"/>
  <c r="L44" i="50"/>
  <c r="K44" i="50"/>
  <c r="M44" i="50"/>
  <c r="G24" i="50"/>
  <c r="F24" i="50"/>
  <c r="E24" i="50"/>
  <c r="D24" i="50"/>
  <c r="C24" i="50"/>
  <c r="N24" i="50"/>
  <c r="M24" i="50"/>
  <c r="J24" i="50"/>
  <c r="L24" i="50"/>
  <c r="K24" i="50"/>
  <c r="I24" i="50"/>
  <c r="H24" i="50"/>
  <c r="J44" i="49"/>
  <c r="I44" i="49"/>
  <c r="H44" i="49"/>
  <c r="G44" i="49"/>
  <c r="F44" i="49"/>
  <c r="E44" i="49"/>
  <c r="D44" i="49"/>
  <c r="C44" i="49"/>
  <c r="N44" i="49"/>
  <c r="M44" i="49"/>
  <c r="L44" i="49"/>
  <c r="K44" i="49"/>
  <c r="G24" i="49"/>
  <c r="F24" i="49"/>
  <c r="E24" i="49"/>
  <c r="D24" i="49"/>
  <c r="C24" i="49"/>
  <c r="N24" i="49"/>
  <c r="M24" i="49"/>
  <c r="L24" i="49"/>
  <c r="K24" i="49"/>
  <c r="J24" i="49"/>
  <c r="I24" i="49"/>
  <c r="H24" i="49"/>
  <c r="J44" i="48"/>
  <c r="I44" i="48"/>
  <c r="H44" i="48"/>
  <c r="G44" i="48"/>
  <c r="F44" i="48"/>
  <c r="E44" i="48"/>
  <c r="D44" i="48"/>
  <c r="C44" i="48"/>
  <c r="N44" i="48"/>
  <c r="M44" i="48"/>
  <c r="L44" i="48"/>
  <c r="K44" i="48"/>
  <c r="G24" i="48"/>
  <c r="F24" i="48"/>
  <c r="E24" i="48"/>
  <c r="D24" i="48"/>
  <c r="C24" i="48"/>
  <c r="N24" i="48"/>
  <c r="L24" i="48"/>
  <c r="M24" i="48"/>
  <c r="K24" i="48"/>
  <c r="J24" i="48"/>
  <c r="I24" i="48"/>
  <c r="H24" i="48"/>
  <c r="J44" i="47"/>
  <c r="I44" i="47"/>
  <c r="H44" i="47"/>
  <c r="G44" i="47"/>
  <c r="F44" i="47"/>
  <c r="D44" i="47"/>
  <c r="L44" i="47"/>
  <c r="K44" i="47"/>
  <c r="E44" i="47"/>
  <c r="C44" i="47"/>
  <c r="N44" i="47"/>
  <c r="M44" i="47"/>
  <c r="G24" i="47"/>
  <c r="I24" i="47"/>
  <c r="F24" i="47"/>
  <c r="E24" i="47"/>
  <c r="D24" i="47"/>
  <c r="C24" i="47"/>
  <c r="N24" i="47"/>
  <c r="M24" i="47"/>
  <c r="L24" i="47"/>
  <c r="K24" i="47"/>
  <c r="J24" i="47"/>
  <c r="H24" i="47"/>
  <c r="J44" i="46"/>
  <c r="I44" i="46"/>
  <c r="H44" i="46"/>
  <c r="G44" i="46"/>
  <c r="F44" i="46"/>
  <c r="E44" i="46"/>
  <c r="D44" i="46"/>
  <c r="C44" i="46"/>
  <c r="M44" i="46"/>
  <c r="L44" i="46"/>
  <c r="N44" i="46"/>
  <c r="K44" i="46"/>
  <c r="G24" i="46"/>
  <c r="F24" i="46"/>
  <c r="E24" i="46"/>
  <c r="D24" i="46"/>
  <c r="C24" i="46"/>
  <c r="N24" i="46"/>
  <c r="M24" i="46"/>
  <c r="L24" i="46"/>
  <c r="K24" i="46"/>
  <c r="J24" i="46"/>
  <c r="I24" i="46"/>
  <c r="H24" i="46"/>
  <c r="C24" i="45"/>
  <c r="L24" i="45"/>
  <c r="K24" i="45"/>
  <c r="M24" i="45"/>
  <c r="N24" i="45"/>
  <c r="I24" i="45"/>
  <c r="G24" i="45"/>
  <c r="E24" i="45"/>
  <c r="D24" i="45"/>
  <c r="H24" i="45"/>
  <c r="F24" i="45"/>
  <c r="J24" i="45"/>
  <c r="F44" i="45"/>
  <c r="E44" i="45"/>
  <c r="N44" i="45"/>
  <c r="D44" i="45"/>
  <c r="C44" i="45"/>
  <c r="L44" i="45"/>
  <c r="J44" i="45"/>
  <c r="H44" i="45"/>
  <c r="K44" i="45"/>
  <c r="I44" i="45"/>
  <c r="G44" i="45"/>
  <c r="M44" i="45"/>
  <c r="E10" i="3"/>
  <c r="D9" i="4"/>
  <c r="T45" i="55" l="1"/>
  <c r="T25" i="55"/>
  <c r="D8" i="4"/>
  <c r="E43" i="3"/>
  <c r="C78" i="2" a="1"/>
  <c r="T46" i="55" l="1"/>
  <c r="T47" i="55" s="1"/>
  <c r="T26" i="55"/>
  <c r="U11" i="55" s="1"/>
  <c r="C86" i="2"/>
  <c r="C88" i="2"/>
  <c r="C92" i="2"/>
  <c r="C79" i="2"/>
  <c r="C80" i="2"/>
  <c r="C83" i="2"/>
  <c r="C89" i="2"/>
  <c r="C84" i="2"/>
  <c r="C78" i="2"/>
  <c r="C90" i="2"/>
  <c r="C82" i="2"/>
  <c r="C87" i="2"/>
  <c r="C91" i="2"/>
  <c r="C81" i="2"/>
  <c r="C85" i="2"/>
  <c r="D78" i="2" a="1"/>
  <c r="G78" i="2" a="1"/>
  <c r="H78" i="2" a="1"/>
  <c r="E78" i="2" a="1"/>
  <c r="F78" i="2" a="1"/>
  <c r="U32" i="55" l="1"/>
  <c r="U12" i="55"/>
  <c r="C93" i="2"/>
  <c r="G87" i="2"/>
  <c r="G79" i="2"/>
  <c r="G84" i="2"/>
  <c r="G81" i="2"/>
  <c r="G90" i="2"/>
  <c r="G91" i="2"/>
  <c r="G89" i="2"/>
  <c r="G92" i="2"/>
  <c r="G78" i="2"/>
  <c r="G82" i="2"/>
  <c r="G88" i="2"/>
  <c r="G80" i="2"/>
  <c r="G85" i="2"/>
  <c r="G86" i="2"/>
  <c r="G83" i="2"/>
  <c r="E85" i="2"/>
  <c r="E90" i="2"/>
  <c r="E92" i="2"/>
  <c r="E91" i="2"/>
  <c r="E80" i="2"/>
  <c r="E87" i="2"/>
  <c r="E79" i="2"/>
  <c r="E84" i="2"/>
  <c r="E83" i="2"/>
  <c r="E78" i="2"/>
  <c r="E88" i="2"/>
  <c r="E81" i="2"/>
  <c r="E89" i="2"/>
  <c r="E86" i="2"/>
  <c r="E82" i="2"/>
  <c r="D92" i="2"/>
  <c r="D78" i="2"/>
  <c r="D91" i="2"/>
  <c r="D81" i="2"/>
  <c r="D85" i="2"/>
  <c r="D79" i="2"/>
  <c r="D82" i="2"/>
  <c r="D88" i="2"/>
  <c r="D89" i="2"/>
  <c r="D83" i="2"/>
  <c r="D84" i="2"/>
  <c r="D87" i="2"/>
  <c r="D80" i="2"/>
  <c r="D90" i="2"/>
  <c r="D86" i="2"/>
  <c r="H92" i="2"/>
  <c r="H89" i="2"/>
  <c r="H80" i="2"/>
  <c r="H85" i="2"/>
  <c r="H82" i="2"/>
  <c r="H88" i="2"/>
  <c r="H78" i="2"/>
  <c r="H83" i="2"/>
  <c r="H87" i="2"/>
  <c r="H79" i="2"/>
  <c r="H81" i="2"/>
  <c r="H91" i="2"/>
  <c r="H90" i="2"/>
  <c r="H84" i="2"/>
  <c r="H86" i="2"/>
  <c r="F88" i="2"/>
  <c r="F79" i="2"/>
  <c r="F90" i="2"/>
  <c r="F82" i="2"/>
  <c r="F83" i="2"/>
  <c r="F81" i="2"/>
  <c r="F89" i="2"/>
  <c r="F80" i="2"/>
  <c r="F91" i="2"/>
  <c r="F87" i="2"/>
  <c r="F78" i="2"/>
  <c r="F84" i="2"/>
  <c r="F92" i="2"/>
  <c r="F86" i="2"/>
  <c r="F85" i="2"/>
  <c r="I78" i="2" a="1"/>
  <c r="U13" i="55" l="1"/>
  <c r="U14" i="55" s="1"/>
  <c r="U33" i="55"/>
  <c r="E93" i="2"/>
  <c r="F93" i="2"/>
  <c r="D93" i="2"/>
  <c r="H93" i="2"/>
  <c r="G93" i="2"/>
  <c r="I84" i="2"/>
  <c r="I92" i="2"/>
  <c r="I81" i="2"/>
  <c r="I89" i="2"/>
  <c r="I78" i="2"/>
  <c r="I83" i="2"/>
  <c r="I85" i="2"/>
  <c r="I79" i="2"/>
  <c r="I86" i="2"/>
  <c r="I80" i="2"/>
  <c r="I88" i="2"/>
  <c r="I90" i="2"/>
  <c r="I87" i="2"/>
  <c r="I82" i="2"/>
  <c r="I91" i="2"/>
  <c r="J78" i="2" a="1"/>
  <c r="U34" i="55" l="1"/>
  <c r="U35" i="55"/>
  <c r="U15" i="55"/>
  <c r="I93" i="2"/>
  <c r="J85" i="2"/>
  <c r="J82" i="2"/>
  <c r="J91" i="2"/>
  <c r="J87" i="2"/>
  <c r="J88" i="2"/>
  <c r="J86" i="2"/>
  <c r="J79" i="2"/>
  <c r="J84" i="2"/>
  <c r="J78" i="2"/>
  <c r="J89" i="2"/>
  <c r="J90" i="2"/>
  <c r="J92" i="2"/>
  <c r="J81" i="2"/>
  <c r="J83" i="2"/>
  <c r="J80" i="2"/>
  <c r="L78" i="2" a="1"/>
  <c r="U36" i="55" l="1"/>
  <c r="U16" i="55"/>
  <c r="J93" i="2"/>
  <c r="L91" i="2"/>
  <c r="L85" i="2"/>
  <c r="L90" i="2"/>
  <c r="L87" i="2"/>
  <c r="L92" i="2"/>
  <c r="L79" i="2"/>
  <c r="L88" i="2"/>
  <c r="L82" i="2"/>
  <c r="L83" i="2"/>
  <c r="L89" i="2"/>
  <c r="L78" i="2"/>
  <c r="L80" i="2"/>
  <c r="L86" i="2"/>
  <c r="L84" i="2"/>
  <c r="L81" i="2"/>
  <c r="U37" i="55" l="1"/>
  <c r="U17" i="55"/>
  <c r="L93" i="2"/>
  <c r="U38" i="55" l="1"/>
  <c r="U18" i="55"/>
  <c r="U39" i="55" l="1"/>
  <c r="U19" i="55"/>
  <c r="U20" i="55" l="1"/>
  <c r="U21" i="55" s="1"/>
  <c r="U40" i="55"/>
  <c r="U42" i="55" l="1"/>
  <c r="U22" i="55"/>
  <c r="U23" i="55" s="1"/>
  <c r="U41" i="55"/>
  <c r="U44" i="55" l="1"/>
  <c r="U43" i="55"/>
  <c r="U24" i="55"/>
  <c r="U45" i="55" l="1"/>
  <c r="U25" i="55"/>
  <c r="U26" i="55" s="1"/>
  <c r="V11" i="55" s="1"/>
  <c r="U46" i="55" l="1"/>
  <c r="U47" i="55" s="1"/>
  <c r="V12" i="55"/>
  <c r="V32" i="55"/>
  <c r="V33" i="55" l="1"/>
  <c r="V13" i="55"/>
  <c r="N6" i="54" l="1"/>
  <c r="V34" i="55"/>
  <c r="V14" i="55"/>
  <c r="V15" i="55" s="1"/>
  <c r="X6" i="54" l="1"/>
  <c r="V36" i="55"/>
  <c r="V35" i="55"/>
  <c r="V16" i="55"/>
  <c r="O27" i="54" l="1"/>
  <c r="P6" i="54"/>
  <c r="X7" i="54"/>
  <c r="P7" i="54" s="1"/>
  <c r="V37" i="55"/>
  <c r="V17" i="55"/>
  <c r="O28" i="54" l="1"/>
  <c r="X8" i="54"/>
  <c r="X9" i="54"/>
  <c r="V38" i="55"/>
  <c r="V18" i="55"/>
  <c r="P9" i="54" l="1"/>
  <c r="O29" i="54"/>
  <c r="P8" i="54"/>
  <c r="O30" i="54"/>
  <c r="X10" i="54"/>
  <c r="P10" i="54" s="1"/>
  <c r="V19" i="55"/>
  <c r="V20" i="55" s="1"/>
  <c r="V39" i="55"/>
  <c r="O31" i="54" l="1"/>
  <c r="X11" i="54"/>
  <c r="V41" i="55"/>
  <c r="V40" i="55"/>
  <c r="V21" i="55"/>
  <c r="O32" i="54" l="1"/>
  <c r="P11" i="54"/>
  <c r="X12" i="54"/>
  <c r="P12" i="54" s="1"/>
  <c r="V42" i="55"/>
  <c r="V22" i="55"/>
  <c r="O33" i="54" l="1"/>
  <c r="X13" i="54"/>
  <c r="X14" i="54"/>
  <c r="P14" i="54" s="1"/>
  <c r="V43" i="55"/>
  <c r="V23" i="55"/>
  <c r="O34" i="54" l="1"/>
  <c r="P13" i="54"/>
  <c r="O35" i="54"/>
  <c r="X15" i="54"/>
  <c r="P15" i="54" s="1"/>
  <c r="V44" i="55"/>
  <c r="V24" i="55"/>
  <c r="O36" i="54" l="1"/>
  <c r="X16" i="54"/>
  <c r="V45" i="55"/>
  <c r="V25" i="55"/>
  <c r="O37" i="54" l="1"/>
  <c r="P16" i="54"/>
  <c r="X17" i="54"/>
  <c r="P17" i="54" s="1"/>
  <c r="V46" i="55"/>
  <c r="V47" i="55" s="1"/>
  <c r="V26" i="55"/>
  <c r="K5" i="54" l="1" a="1"/>
  <c r="E5" i="54" a="1"/>
  <c r="O38" i="54"/>
  <c r="X18" i="54"/>
  <c r="P18" i="54" s="1"/>
  <c r="W11" i="55"/>
  <c r="W32" i="55" l="1"/>
  <c r="C5" i="54" a="1"/>
  <c r="O39" i="54"/>
  <c r="X19" i="54"/>
  <c r="J5" i="54" s="1" a="1"/>
  <c r="W12" i="55"/>
  <c r="W33" i="55" l="1"/>
  <c r="H5" i="54" a="1"/>
  <c r="O40" i="54"/>
  <c r="P19" i="54"/>
  <c r="Y20" i="54"/>
  <c r="W13" i="55"/>
  <c r="G5" i="54" l="1" a="1"/>
  <c r="X20" i="54"/>
  <c r="N20" i="54"/>
  <c r="W14" i="55"/>
  <c r="W34" i="55"/>
  <c r="W35" i="55" l="1"/>
  <c r="W15" i="55"/>
  <c r="M43" i="54"/>
  <c r="M42" i="54" s="1"/>
  <c r="P20" i="54"/>
  <c r="W36" i="55" l="1"/>
  <c r="W16" i="55"/>
  <c r="N43" i="54"/>
  <c r="N42" i="54"/>
  <c r="C42" i="54"/>
  <c r="W37" i="55" l="1"/>
  <c r="W17" i="55"/>
  <c r="W18" i="55"/>
  <c r="W19" i="55" l="1"/>
  <c r="W20" i="55" s="1"/>
  <c r="W38" i="55"/>
  <c r="W39" i="55"/>
  <c r="W41" i="55" l="1"/>
  <c r="W40" i="55"/>
  <c r="W21" i="55"/>
  <c r="W22" i="55" s="1"/>
  <c r="W43" i="55" l="1"/>
  <c r="W42" i="55"/>
  <c r="W23" i="55"/>
  <c r="W44" i="55" l="1"/>
  <c r="W24" i="55"/>
  <c r="W45" i="55" l="1"/>
  <c r="W25" i="55"/>
  <c r="W46" i="55" l="1"/>
  <c r="W26" i="55"/>
  <c r="W47" i="55" l="1"/>
  <c r="X11" i="55"/>
  <c r="X32" i="55" l="1"/>
  <c r="AG11" i="55"/>
  <c r="AH11" i="55"/>
  <c r="X12" i="55"/>
  <c r="X33" i="55" l="1"/>
  <c r="AG12" i="55"/>
  <c r="AH12" i="55"/>
  <c r="E5" i="54"/>
  <c r="K5" i="54"/>
  <c r="H5" i="54"/>
  <c r="AG32" i="55"/>
  <c r="G5" i="54" s="1"/>
  <c r="AH32" i="55"/>
  <c r="X13" i="55"/>
  <c r="AG33" i="55" l="1"/>
  <c r="AH33" i="55"/>
  <c r="I5" i="54"/>
  <c r="D14" i="3"/>
  <c r="D47" i="3"/>
  <c r="C47" i="3"/>
  <c r="C5" i="54"/>
  <c r="J5" i="54"/>
  <c r="B47" i="3"/>
  <c r="AG13" i="55"/>
  <c r="AH13" i="55"/>
  <c r="E6" i="54"/>
  <c r="K6" i="54"/>
  <c r="C48" i="3" s="1"/>
  <c r="X14" i="55"/>
  <c r="X15" i="55" s="1"/>
  <c r="X34" i="55"/>
  <c r="AG34" i="55" l="1"/>
  <c r="AH34" i="55"/>
  <c r="L5" i="54"/>
  <c r="C14" i="3"/>
  <c r="X35" i="55"/>
  <c r="AG14" i="55"/>
  <c r="AH14" i="55"/>
  <c r="B14" i="3"/>
  <c r="F5" i="54"/>
  <c r="C6" i="54"/>
  <c r="J6" i="54"/>
  <c r="AG15" i="55"/>
  <c r="AH15" i="55"/>
  <c r="V6" i="54"/>
  <c r="B48" i="3"/>
  <c r="E48" i="3" s="1"/>
  <c r="E47" i="3"/>
  <c r="F47" i="3" s="1"/>
  <c r="E7" i="54"/>
  <c r="K7" i="54"/>
  <c r="C49" i="3" s="1"/>
  <c r="X16" i="55"/>
  <c r="X36" i="55"/>
  <c r="E14" i="3" l="1"/>
  <c r="F14" i="3" s="1"/>
  <c r="C7" i="54"/>
  <c r="J7" i="54"/>
  <c r="U6" i="54"/>
  <c r="H6" i="54"/>
  <c r="E8" i="54"/>
  <c r="K8" i="54"/>
  <c r="AG36" i="55"/>
  <c r="AH36" i="55"/>
  <c r="V7" i="54"/>
  <c r="B49" i="3"/>
  <c r="E49" i="3" s="1"/>
  <c r="L6" i="54"/>
  <c r="C15" i="3"/>
  <c r="AG16" i="55"/>
  <c r="AH16" i="55"/>
  <c r="E9" i="54"/>
  <c r="K9" i="54"/>
  <c r="C51" i="3" s="1"/>
  <c r="F6" i="54"/>
  <c r="B15" i="3"/>
  <c r="AG35" i="55"/>
  <c r="AH35" i="55"/>
  <c r="X17" i="55"/>
  <c r="X37" i="55"/>
  <c r="C9" i="54" l="1"/>
  <c r="J9" i="54"/>
  <c r="AG37" i="55"/>
  <c r="AH37" i="55"/>
  <c r="V9" i="54"/>
  <c r="B51" i="3"/>
  <c r="E51" i="3" s="1"/>
  <c r="AG17" i="55"/>
  <c r="AH17" i="55"/>
  <c r="C50" i="3"/>
  <c r="E10" i="54"/>
  <c r="K10" i="54"/>
  <c r="C52" i="3" s="1"/>
  <c r="V8" i="54"/>
  <c r="B50" i="3"/>
  <c r="L7" i="54"/>
  <c r="C16" i="3"/>
  <c r="D48" i="3"/>
  <c r="J8" i="54"/>
  <c r="C8" i="54"/>
  <c r="E15" i="3"/>
  <c r="F7" i="54"/>
  <c r="B16" i="3"/>
  <c r="U7" i="54"/>
  <c r="G7" i="54" s="1"/>
  <c r="H7" i="54"/>
  <c r="D49" i="3" s="1"/>
  <c r="F49" i="3" s="1"/>
  <c r="G6" i="54"/>
  <c r="X18" i="55"/>
  <c r="X38" i="55"/>
  <c r="F48" i="3" l="1"/>
  <c r="V10" i="54"/>
  <c r="B52" i="3"/>
  <c r="E52" i="3" s="1"/>
  <c r="AG38" i="55"/>
  <c r="AH38" i="55"/>
  <c r="L9" i="54"/>
  <c r="C18" i="3"/>
  <c r="AG18" i="55"/>
  <c r="AH18" i="55"/>
  <c r="E50" i="3"/>
  <c r="U8" i="54"/>
  <c r="H8" i="54"/>
  <c r="E16" i="3"/>
  <c r="F9" i="54"/>
  <c r="B18" i="3"/>
  <c r="D15" i="3"/>
  <c r="I6" i="54"/>
  <c r="F8" i="54"/>
  <c r="B17" i="3"/>
  <c r="I7" i="54"/>
  <c r="D16" i="3"/>
  <c r="F16" i="3" s="1"/>
  <c r="L8" i="54"/>
  <c r="C17" i="3"/>
  <c r="U9" i="54"/>
  <c r="G9" i="54" s="1"/>
  <c r="H9" i="54"/>
  <c r="D51" i="3" s="1"/>
  <c r="F51" i="3" s="1"/>
  <c r="K11" i="54"/>
  <c r="E11" i="54"/>
  <c r="C10" i="54"/>
  <c r="J10" i="54"/>
  <c r="X19" i="55"/>
  <c r="X39" i="55"/>
  <c r="E17" i="3" l="1"/>
  <c r="U10" i="54"/>
  <c r="G10" i="54" s="1"/>
  <c r="H10" i="54"/>
  <c r="D52" i="3" s="1"/>
  <c r="F52" i="3" s="1"/>
  <c r="F10" i="54"/>
  <c r="B19" i="3"/>
  <c r="E12" i="54"/>
  <c r="K12" i="54"/>
  <c r="C54" i="3" s="1"/>
  <c r="L10" i="54"/>
  <c r="C19" i="3"/>
  <c r="V11" i="54"/>
  <c r="B53" i="3"/>
  <c r="E18" i="3"/>
  <c r="AG39" i="55"/>
  <c r="AH39" i="55"/>
  <c r="C53" i="3"/>
  <c r="D50" i="3"/>
  <c r="G8" i="54"/>
  <c r="C11" i="54"/>
  <c r="J11" i="54"/>
  <c r="AG19" i="55"/>
  <c r="AH19" i="55"/>
  <c r="D18" i="3"/>
  <c r="F18" i="3" s="1"/>
  <c r="I9" i="54"/>
  <c r="F15" i="3"/>
  <c r="X20" i="55"/>
  <c r="X40" i="55"/>
  <c r="V12" i="54" l="1"/>
  <c r="B54" i="3"/>
  <c r="E54" i="3" s="1"/>
  <c r="C12" i="54"/>
  <c r="J12" i="54"/>
  <c r="I10" i="54"/>
  <c r="D19" i="3"/>
  <c r="E19" i="3"/>
  <c r="F50" i="3"/>
  <c r="E53" i="3"/>
  <c r="AG40" i="55"/>
  <c r="AH40" i="55"/>
  <c r="L11" i="54"/>
  <c r="C20" i="3"/>
  <c r="E13" i="54"/>
  <c r="K13" i="54"/>
  <c r="U11" i="54"/>
  <c r="H11" i="54"/>
  <c r="AG20" i="55"/>
  <c r="AH20" i="55"/>
  <c r="F11" i="54"/>
  <c r="B20" i="3"/>
  <c r="I8" i="54"/>
  <c r="D17" i="3"/>
  <c r="X21" i="55"/>
  <c r="X41" i="55"/>
  <c r="F19" i="3" l="1"/>
  <c r="C13" i="54"/>
  <c r="J13" i="54"/>
  <c r="L12" i="54"/>
  <c r="C21" i="3"/>
  <c r="AG21" i="55"/>
  <c r="AH21" i="55"/>
  <c r="F12" i="54"/>
  <c r="B21" i="3"/>
  <c r="D53" i="3"/>
  <c r="F53" i="3" s="1"/>
  <c r="U12" i="54"/>
  <c r="G12" i="54" s="1"/>
  <c r="H12" i="54"/>
  <c r="D54" i="3" s="1"/>
  <c r="F54" i="3" s="1"/>
  <c r="E14" i="54"/>
  <c r="K14" i="54"/>
  <c r="C56" i="3" s="1"/>
  <c r="G11" i="54"/>
  <c r="F17" i="3"/>
  <c r="C55" i="3"/>
  <c r="V13" i="54"/>
  <c r="B55" i="3"/>
  <c r="AG41" i="55"/>
  <c r="AH41" i="55"/>
  <c r="E20" i="3"/>
  <c r="X22" i="55"/>
  <c r="X42" i="55"/>
  <c r="E15" i="54" l="1"/>
  <c r="K15" i="54"/>
  <c r="C57" i="3" s="1"/>
  <c r="V14" i="54"/>
  <c r="B56" i="3"/>
  <c r="E56" i="3" s="1"/>
  <c r="AG42" i="55"/>
  <c r="AH42" i="55"/>
  <c r="AG22" i="55"/>
  <c r="AH22" i="55"/>
  <c r="E55" i="3"/>
  <c r="E21" i="3"/>
  <c r="I11" i="54"/>
  <c r="D20" i="3"/>
  <c r="U13" i="54"/>
  <c r="H13" i="54"/>
  <c r="D55" i="3" s="1"/>
  <c r="I12" i="54"/>
  <c r="D21" i="3"/>
  <c r="C14" i="54"/>
  <c r="J14" i="54"/>
  <c r="L13" i="54"/>
  <c r="C22" i="3"/>
  <c r="F13" i="54"/>
  <c r="B22" i="3"/>
  <c r="X23" i="55"/>
  <c r="X43" i="55"/>
  <c r="F21" i="3" l="1"/>
  <c r="F55" i="3"/>
  <c r="E22" i="3"/>
  <c r="J15" i="54"/>
  <c r="C15" i="54"/>
  <c r="G13" i="54"/>
  <c r="L14" i="54"/>
  <c r="C23" i="3"/>
  <c r="U14" i="54"/>
  <c r="G14" i="54" s="1"/>
  <c r="H14" i="54"/>
  <c r="D56" i="3" s="1"/>
  <c r="F56" i="3" s="1"/>
  <c r="F20" i="3"/>
  <c r="AG43" i="55"/>
  <c r="AH43" i="55"/>
  <c r="F14" i="54"/>
  <c r="B23" i="3"/>
  <c r="AG23" i="55"/>
  <c r="AH23" i="55"/>
  <c r="E16" i="54"/>
  <c r="K16" i="54"/>
  <c r="C58" i="3" s="1"/>
  <c r="V15" i="54"/>
  <c r="B57" i="3"/>
  <c r="E57" i="3" s="1"/>
  <c r="X24" i="55"/>
  <c r="X44" i="55"/>
  <c r="E23" i="3" l="1"/>
  <c r="J16" i="54"/>
  <c r="C16" i="54"/>
  <c r="E17" i="54"/>
  <c r="K17" i="54"/>
  <c r="C59" i="3" s="1"/>
  <c r="AG44" i="55"/>
  <c r="AH44" i="55"/>
  <c r="I14" i="54"/>
  <c r="D23" i="3"/>
  <c r="F23" i="3" s="1"/>
  <c r="I13" i="54"/>
  <c r="D22" i="3"/>
  <c r="F22" i="3" s="1"/>
  <c r="U15" i="54"/>
  <c r="G15" i="54" s="1"/>
  <c r="H15" i="54"/>
  <c r="D57" i="3" s="1"/>
  <c r="F57" i="3" s="1"/>
  <c r="V16" i="54"/>
  <c r="B58" i="3"/>
  <c r="E58" i="3" s="1"/>
  <c r="F15" i="54"/>
  <c r="B24" i="3"/>
  <c r="AG24" i="55"/>
  <c r="AH24" i="55"/>
  <c r="L15" i="54"/>
  <c r="C24" i="3"/>
  <c r="X25" i="55"/>
  <c r="X45" i="55"/>
  <c r="C17" i="54" l="1"/>
  <c r="J17" i="54"/>
  <c r="E18" i="54"/>
  <c r="K18" i="54"/>
  <c r="C60" i="3" s="1"/>
  <c r="V17" i="54"/>
  <c r="B59" i="3"/>
  <c r="E59" i="3" s="1"/>
  <c r="AG45" i="55"/>
  <c r="AH45" i="55"/>
  <c r="F16" i="54"/>
  <c r="B25" i="3"/>
  <c r="U16" i="54"/>
  <c r="G16" i="54" s="1"/>
  <c r="H16" i="54"/>
  <c r="D58" i="3" s="1"/>
  <c r="F58" i="3" s="1"/>
  <c r="I15" i="54"/>
  <c r="D24" i="3"/>
  <c r="L16" i="54"/>
  <c r="C25" i="3"/>
  <c r="X46" i="55"/>
  <c r="X47" i="55" s="1"/>
  <c r="AG25" i="55"/>
  <c r="AG26" i="55" s="1"/>
  <c r="AH25" i="55"/>
  <c r="E24" i="3"/>
  <c r="X26" i="55"/>
  <c r="Y11" i="55" s="1"/>
  <c r="Y12" i="55" s="1"/>
  <c r="E25" i="3" l="1"/>
  <c r="F24" i="3"/>
  <c r="U17" i="54"/>
  <c r="G17" i="54" s="1"/>
  <c r="H17" i="54"/>
  <c r="D59" i="3" s="1"/>
  <c r="F59" i="3" s="1"/>
  <c r="D25" i="3"/>
  <c r="I16" i="54"/>
  <c r="V18" i="54"/>
  <c r="B60" i="3"/>
  <c r="E60" i="3" s="1"/>
  <c r="E19" i="54"/>
  <c r="K19" i="54"/>
  <c r="AH26" i="55"/>
  <c r="AG46" i="55"/>
  <c r="AG47" i="55" s="1"/>
  <c r="AH46" i="55"/>
  <c r="L17" i="54"/>
  <c r="C26" i="3"/>
  <c r="C18" i="54"/>
  <c r="J18" i="54"/>
  <c r="F17" i="54"/>
  <c r="B26" i="3"/>
  <c r="Y13" i="55"/>
  <c r="Y34" i="55" s="1"/>
  <c r="Y33" i="55"/>
  <c r="Y32" i="55"/>
  <c r="F25" i="3" l="1"/>
  <c r="E26" i="3"/>
  <c r="L18" i="54"/>
  <c r="C27" i="3"/>
  <c r="U18" i="54"/>
  <c r="G18" i="54" s="1"/>
  <c r="H18" i="54"/>
  <c r="D60" i="3" s="1"/>
  <c r="F60" i="3" s="1"/>
  <c r="F18" i="54"/>
  <c r="B27" i="3"/>
  <c r="V19" i="54"/>
  <c r="B61" i="3"/>
  <c r="B62" i="3" s="1"/>
  <c r="E20" i="54"/>
  <c r="J19" i="54"/>
  <c r="C19" i="54"/>
  <c r="AH47" i="55"/>
  <c r="C61" i="3"/>
  <c r="K20" i="54"/>
  <c r="I17" i="54"/>
  <c r="D26" i="3"/>
  <c r="F26" i="3" s="1"/>
  <c r="Y14" i="55"/>
  <c r="Y15" i="55" s="1"/>
  <c r="E61" i="3" l="1"/>
  <c r="C62" i="3"/>
  <c r="E62" i="3" s="1"/>
  <c r="U19" i="54"/>
  <c r="H19" i="54"/>
  <c r="V20" i="54"/>
  <c r="E27" i="3"/>
  <c r="F19" i="54"/>
  <c r="F20" i="54" s="1"/>
  <c r="B28" i="3"/>
  <c r="B29" i="3" s="1"/>
  <c r="C20" i="54"/>
  <c r="I18" i="54"/>
  <c r="D27" i="3"/>
  <c r="C28" i="3"/>
  <c r="L19" i="54"/>
  <c r="L20" i="54" s="1"/>
  <c r="J20" i="54"/>
  <c r="Y35" i="55"/>
  <c r="Y16" i="55"/>
  <c r="Y36" i="55"/>
  <c r="D61" i="3" l="1"/>
  <c r="H20" i="54"/>
  <c r="E28" i="3"/>
  <c r="C29" i="3"/>
  <c r="E29" i="3" s="1"/>
  <c r="F27" i="3"/>
  <c r="G19" i="54"/>
  <c r="U20" i="54"/>
  <c r="Y17" i="55"/>
  <c r="Y37" i="55"/>
  <c r="I19" i="54" l="1"/>
  <c r="I20" i="54" s="1"/>
  <c r="D28" i="3"/>
  <c r="G20" i="54"/>
  <c r="F61" i="3"/>
  <c r="D62" i="3"/>
  <c r="F62" i="3" s="1"/>
  <c r="Y18" i="55"/>
  <c r="Y38" i="55"/>
  <c r="F28" i="3" l="1"/>
  <c r="D29" i="3"/>
  <c r="F29" i="3" s="1"/>
  <c r="Y19" i="55"/>
  <c r="Y39" i="55"/>
  <c r="Y20" i="55" l="1"/>
  <c r="Y40" i="55"/>
  <c r="Y21" i="55" l="1"/>
  <c r="Y41" i="55"/>
  <c r="Y22" i="55" l="1"/>
  <c r="Y42" i="55"/>
  <c r="Y23" i="55" l="1"/>
  <c r="Y43" i="55"/>
  <c r="Y24" i="55" l="1"/>
  <c r="Y44" i="55"/>
  <c r="Y25" i="55" l="1"/>
  <c r="Y45" i="55"/>
  <c r="Y46" i="55" l="1"/>
  <c r="Y47" i="55" s="1"/>
  <c r="Y26" i="55"/>
  <c r="Z11" i="55" l="1"/>
  <c r="Z12" i="55" s="1"/>
  <c r="Z13" i="55" l="1"/>
  <c r="Z34" i="55" s="1"/>
  <c r="Z33" i="55"/>
  <c r="Z32" i="55"/>
  <c r="Z14" i="55" l="1"/>
  <c r="Z15" i="55" s="1"/>
  <c r="Z35" i="55" l="1"/>
  <c r="Z16" i="55"/>
  <c r="Z36" i="55"/>
  <c r="Z17" i="55" l="1"/>
  <c r="Z37" i="55"/>
  <c r="Z18" i="55" l="1"/>
  <c r="Z38" i="55"/>
  <c r="Z19" i="55" l="1"/>
  <c r="Z39" i="55"/>
  <c r="Z20" i="55" l="1"/>
  <c r="Z40" i="55"/>
  <c r="Z21" i="55" l="1"/>
  <c r="Z41" i="55"/>
  <c r="Z22" i="55" l="1"/>
  <c r="Z42" i="55"/>
  <c r="Z23" i="55" l="1"/>
  <c r="Z43" i="55"/>
  <c r="Z24" i="55" l="1"/>
  <c r="Z44" i="55"/>
  <c r="Z25" i="55" l="1"/>
  <c r="Z45" i="55"/>
  <c r="Z46" i="55" l="1"/>
  <c r="Z47" i="55" s="1"/>
  <c r="Z26" i="55"/>
  <c r="AA11" i="55" l="1"/>
  <c r="AA12" i="55" s="1"/>
  <c r="AA13" i="55" l="1"/>
  <c r="AA33" i="55"/>
  <c r="AA32" i="55"/>
  <c r="AA14" i="55" l="1"/>
  <c r="AA34" i="55"/>
  <c r="AA15" i="55" l="1"/>
  <c r="AA35" i="55"/>
  <c r="AA16" i="55" l="1"/>
  <c r="AA36" i="55"/>
  <c r="AA17" i="55" l="1"/>
  <c r="AA37" i="55"/>
  <c r="AA18" i="55" l="1"/>
  <c r="AA38" i="55"/>
  <c r="AA19" i="55" l="1"/>
  <c r="AA39" i="55"/>
  <c r="AA20" i="55" l="1"/>
  <c r="AA40" i="55"/>
  <c r="AA21" i="55" l="1"/>
  <c r="AA41" i="55"/>
  <c r="AA22" i="55" l="1"/>
  <c r="AA42" i="55"/>
  <c r="AA23" i="55" l="1"/>
  <c r="AA43" i="55"/>
  <c r="AA24" i="55" l="1"/>
  <c r="AA44" i="55"/>
  <c r="AA25" i="55" l="1"/>
  <c r="AA45" i="55"/>
  <c r="AA46" i="55" l="1"/>
  <c r="AA47" i="55" s="1"/>
  <c r="AA26" i="55"/>
  <c r="AB11" i="55" l="1"/>
  <c r="AB12" i="55" l="1"/>
  <c r="AB32" i="55"/>
  <c r="AB13" i="55" l="1"/>
  <c r="AB33" i="55"/>
  <c r="AB34" i="55" l="1"/>
  <c r="AB14" i="55"/>
  <c r="AB15" i="55" l="1"/>
  <c r="AB35" i="55"/>
  <c r="AB16" i="55" l="1"/>
  <c r="AB36" i="55"/>
  <c r="AB17" i="55" l="1"/>
  <c r="AB37" i="55"/>
  <c r="AB18" i="55" l="1"/>
  <c r="AB38" i="55"/>
  <c r="AB19" i="55" l="1"/>
  <c r="AB39" i="55"/>
  <c r="AB20" i="55" l="1"/>
  <c r="AB40" i="55"/>
  <c r="AB21" i="55" l="1"/>
  <c r="AB41" i="55"/>
  <c r="AB22" i="55" l="1"/>
  <c r="AB42" i="55"/>
  <c r="AB23" i="55" l="1"/>
  <c r="AB43" i="55"/>
  <c r="AB24" i="55" l="1"/>
  <c r="AB44" i="55"/>
  <c r="AB25" i="55" l="1"/>
  <c r="AB45" i="55"/>
  <c r="AB46" i="55" l="1"/>
  <c r="AB47" i="55" s="1"/>
  <c r="AB26" i="55"/>
  <c r="AC11" i="55" l="1"/>
  <c r="AC12" i="55" l="1"/>
  <c r="AC32" i="55"/>
  <c r="AC13" i="55" l="1"/>
  <c r="AC33" i="55"/>
  <c r="AC14" i="55" l="1"/>
  <c r="AC34" i="55"/>
  <c r="AC15" i="55" l="1"/>
  <c r="AC35" i="55"/>
  <c r="AC36" i="55" l="1"/>
  <c r="AC16" i="55"/>
  <c r="AC37" i="55" l="1"/>
  <c r="AC17" i="55"/>
  <c r="AC18" i="55" l="1"/>
  <c r="AC38" i="55"/>
  <c r="AC19" i="55" l="1"/>
  <c r="AC39" i="55"/>
  <c r="AC20" i="55" l="1"/>
  <c r="AC40" i="55"/>
  <c r="AC21" i="55" l="1"/>
  <c r="AC41" i="55"/>
  <c r="AC22" i="55" l="1"/>
  <c r="AC42" i="55"/>
  <c r="AC23" i="55" l="1"/>
  <c r="AC43" i="55"/>
  <c r="AC24" i="55" l="1"/>
  <c r="AC44" i="55"/>
  <c r="AC25" i="55" l="1"/>
  <c r="AC45" i="55"/>
  <c r="AC26" i="55" l="1"/>
  <c r="AC46" i="55"/>
  <c r="AC47" i="55" s="1"/>
  <c r="AD11" i="55" l="1"/>
  <c r="AD32" i="55" s="1"/>
  <c r="AD12" i="55" l="1"/>
  <c r="AD33" i="55" l="1"/>
  <c r="AD13" i="55"/>
  <c r="AD34" i="55" l="1"/>
  <c r="AD14" i="55"/>
  <c r="AD15" i="55" l="1"/>
  <c r="AD35" i="55"/>
  <c r="AD16" i="55" l="1"/>
  <c r="AD36" i="55"/>
  <c r="AD17" i="55" l="1"/>
  <c r="AD37" i="55"/>
  <c r="AD18" i="55" l="1"/>
  <c r="AD38" i="55"/>
  <c r="AD19" i="55" l="1"/>
  <c r="AD39" i="55"/>
  <c r="AD20" i="55" l="1"/>
  <c r="AD40" i="55"/>
  <c r="AD21" i="55" l="1"/>
  <c r="AD41" i="55"/>
  <c r="AD22" i="55" l="1"/>
  <c r="AD42" i="55"/>
  <c r="AD23" i="55" l="1"/>
  <c r="AD43" i="55"/>
  <c r="AD24" i="55" l="1"/>
  <c r="AD44" i="55"/>
  <c r="AD25" i="55" l="1"/>
  <c r="AD45" i="55"/>
  <c r="AD26" i="55" l="1"/>
  <c r="AD46" i="55"/>
  <c r="AD47" i="55" s="1"/>
  <c r="AE11" i="55" l="1"/>
  <c r="AE32" i="55" s="1"/>
  <c r="AE12" i="55" l="1"/>
  <c r="AE33" i="55" s="1"/>
  <c r="AE13" i="55" l="1"/>
  <c r="AE14" i="55" s="1"/>
  <c r="AE34" i="55" l="1"/>
  <c r="AE15" i="55"/>
  <c r="AE35" i="55"/>
  <c r="AE36" i="55" l="1"/>
  <c r="AE16" i="55"/>
  <c r="AE17" i="55" l="1"/>
  <c r="AE37" i="55"/>
  <c r="AE18" i="55" l="1"/>
  <c r="AE38" i="55"/>
  <c r="AE19" i="55" l="1"/>
  <c r="AE39" i="55"/>
  <c r="AE20" i="55" l="1"/>
  <c r="AE40" i="55"/>
  <c r="AE21" i="55" l="1"/>
  <c r="AE41" i="55"/>
  <c r="AE22" i="55" l="1"/>
  <c r="AE42" i="55"/>
  <c r="AE23" i="55" l="1"/>
  <c r="AE43" i="55"/>
  <c r="AE24" i="55" l="1"/>
  <c r="AE44" i="55"/>
  <c r="AE25" i="55" l="1"/>
  <c r="AE45" i="55"/>
  <c r="AE26" i="55" l="1"/>
  <c r="AE46" i="55"/>
  <c r="AE47" i="55" s="1"/>
  <c r="K78" i="2" a="1"/>
  <c r="K79" i="2" l="1"/>
  <c r="M79" i="2" s="1"/>
  <c r="K85" i="2"/>
  <c r="M85" i="2" s="1"/>
  <c r="K90" i="2"/>
  <c r="M90" i="2" s="1"/>
  <c r="K80" i="2"/>
  <c r="M80" i="2" s="1"/>
  <c r="K84" i="2"/>
  <c r="M84" i="2" s="1"/>
  <c r="K86" i="2"/>
  <c r="M86" i="2" s="1"/>
  <c r="K83" i="2"/>
  <c r="M83" i="2" s="1"/>
  <c r="K78" i="2"/>
  <c r="M78" i="2" s="1"/>
  <c r="K88" i="2"/>
  <c r="M88" i="2" s="1"/>
  <c r="K91" i="2"/>
  <c r="M91" i="2" s="1"/>
  <c r="K92" i="2"/>
  <c r="M92" i="2" s="1"/>
  <c r="K89" i="2"/>
  <c r="M89" i="2" s="1"/>
  <c r="K81" i="2"/>
  <c r="M81" i="2" s="1"/>
  <c r="K87" i="2"/>
  <c r="M87" i="2" s="1"/>
  <c r="K82" i="2"/>
  <c r="M82" i="2" s="1"/>
  <c r="K93" i="2" l="1"/>
  <c r="M93"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<sst xmlns="http://schemas.openxmlformats.org/spreadsheetml/2006/main" count="486" uniqueCount="166">
  <si>
    <t>October</t>
  </si>
  <si>
    <t>November</t>
  </si>
  <si>
    <t>December</t>
  </si>
  <si>
    <t>January</t>
  </si>
  <si>
    <t>February</t>
  </si>
  <si>
    <t>March</t>
  </si>
  <si>
    <t>April</t>
  </si>
  <si>
    <t>May</t>
  </si>
  <si>
    <t>June</t>
  </si>
  <si>
    <t>July</t>
  </si>
  <si>
    <t>August</t>
  </si>
  <si>
    <t>September</t>
  </si>
  <si>
    <t>Fiscal Year</t>
  </si>
  <si>
    <t>Edison ID</t>
  </si>
  <si>
    <t>Contractor/Grantee</t>
  </si>
  <si>
    <t>Name</t>
  </si>
  <si>
    <t>Address</t>
  </si>
  <si>
    <t>City, State,Zip</t>
  </si>
  <si>
    <t>Sample Grantee</t>
  </si>
  <si>
    <t>0000 Budget Lane</t>
  </si>
  <si>
    <t>Somewhere, TN 00000</t>
  </si>
  <si>
    <t>Phone</t>
  </si>
  <si>
    <t>Email</t>
  </si>
  <si>
    <t>Contract Type</t>
  </si>
  <si>
    <t>Program/Component</t>
  </si>
  <si>
    <t>CSGB</t>
  </si>
  <si>
    <t>Salaries</t>
  </si>
  <si>
    <t>Benefits &amp; Taxes</t>
  </si>
  <si>
    <t>Professional Fee / Grant &amp; Award</t>
  </si>
  <si>
    <t>Supplies</t>
  </si>
  <si>
    <t>Telephone</t>
  </si>
  <si>
    <t>Postage &amp; Shipping</t>
  </si>
  <si>
    <t>Occupancy</t>
  </si>
  <si>
    <t>Equipment Rental &amp; Maintenance</t>
  </si>
  <si>
    <t>Printing &amp; Publications</t>
  </si>
  <si>
    <t>Travel / Conferences &amp; Meetings</t>
  </si>
  <si>
    <t>Insurance</t>
  </si>
  <si>
    <t>Specific Assistance to Individuals</t>
  </si>
  <si>
    <t>Depreciation</t>
  </si>
  <si>
    <t>Other Non_Personnel</t>
  </si>
  <si>
    <t>Indirect Cost / Adm. Exp. / M&amp;G</t>
  </si>
  <si>
    <t>EMP</t>
  </si>
  <si>
    <t>ED and CD</t>
  </si>
  <si>
    <t>II and AB</t>
  </si>
  <si>
    <t>Housing</t>
  </si>
  <si>
    <t>H and S BD</t>
  </si>
  <si>
    <t>CE and CI</t>
  </si>
  <si>
    <t>SSMD</t>
  </si>
  <si>
    <t>Linkages</t>
  </si>
  <si>
    <t>ACB</t>
  </si>
  <si>
    <t>Other</t>
  </si>
  <si>
    <t>Total</t>
  </si>
  <si>
    <t>COST CATEGORY</t>
  </si>
  <si>
    <t>Contact</t>
  </si>
  <si>
    <t>Budget</t>
  </si>
  <si>
    <t>YTD Actual</t>
  </si>
  <si>
    <t>Expenditures</t>
  </si>
  <si>
    <t>Invoice</t>
  </si>
  <si>
    <t>Usage YTD %</t>
  </si>
  <si>
    <t>Amount</t>
  </si>
  <si>
    <t>Due</t>
  </si>
  <si>
    <t>DHS</t>
  </si>
  <si>
    <t>Authorized Signature</t>
  </si>
  <si>
    <t>Title</t>
  </si>
  <si>
    <t>Date</t>
  </si>
  <si>
    <t>Remit pdf Invoice Document to fiscalcommsvs.dhs</t>
  </si>
  <si>
    <t>Final Contract Invoice</t>
  </si>
  <si>
    <t>Invoice for Reimbursement</t>
  </si>
  <si>
    <t>I certify to the best of my knowledge and belief that the data above are correct and that all expenditures were made in accordance with the contract conditions and that payment is due and has not been previously requested.</t>
  </si>
  <si>
    <t>Current</t>
  </si>
  <si>
    <t>Budget Modifications</t>
  </si>
  <si>
    <t>Next FFY</t>
  </si>
  <si>
    <t>Domain Summary</t>
  </si>
  <si>
    <t>YTD Total</t>
  </si>
  <si>
    <t>Combined</t>
  </si>
  <si>
    <t>This data shows the remaining funds per domain for the current contract and is auto-calculated from the values entered on the domain tabs. At the end of the fiscal cycle, the values from this section can be copied directly into the rollover funds section of the new invoice document.</t>
  </si>
  <si>
    <t>Code</t>
  </si>
  <si>
    <t>Description</t>
  </si>
  <si>
    <t>Employment</t>
  </si>
  <si>
    <t>Education and Cognitive Development</t>
  </si>
  <si>
    <t>Income, Infrastructure, and Asset Building</t>
  </si>
  <si>
    <t>Health and Social/Dehavioral Development (including nutrition)</t>
  </si>
  <si>
    <t>Civic Engagements and Community Involvement</t>
  </si>
  <si>
    <t>Services Supporting Multiple Domains</t>
  </si>
  <si>
    <t>Linkages (e.g., partnerships that support multiple domains)</t>
  </si>
  <si>
    <t>Agency Capacity Building</t>
  </si>
  <si>
    <t>Other (e.g., emergency management / disaster relief)</t>
  </si>
  <si>
    <t>Tab Name</t>
  </si>
  <si>
    <t>*tab names must match exactly</t>
  </si>
  <si>
    <t>Categories</t>
  </si>
  <si>
    <t>Client Information</t>
  </si>
  <si>
    <t>Contract Information</t>
  </si>
  <si>
    <t>Add some descriptive text here.</t>
  </si>
  <si>
    <t>Current Contract #</t>
  </si>
  <si>
    <t>Carryover Contract #</t>
  </si>
  <si>
    <t>987-654-1203</t>
  </si>
  <si>
    <t>Carryover</t>
  </si>
  <si>
    <t>Modifications</t>
  </si>
  <si>
    <t>Available Funding</t>
  </si>
  <si>
    <t>Unused</t>
  </si>
  <si>
    <t>Year to Date Expenditures</t>
  </si>
  <si>
    <t>Position Title</t>
  </si>
  <si>
    <t>Name of Employee</t>
  </si>
  <si>
    <t>Annual Salary</t>
  </si>
  <si>
    <t>Hours per Week for Regular Schedule</t>
  </si>
  <si>
    <t>Hours per Week Charged to Program</t>
  </si>
  <si>
    <t>Amount Charged to Program</t>
  </si>
  <si>
    <t>F.T.E.</t>
  </si>
  <si>
    <t>Schedule</t>
  </si>
  <si>
    <t>FTEs</t>
  </si>
  <si>
    <t>Hrs/Week</t>
  </si>
  <si>
    <t>Prog/week</t>
  </si>
  <si>
    <t>Count</t>
  </si>
  <si>
    <t>Chrg to Prog</t>
  </si>
  <si>
    <t>AGENCY PERSONNEL LISTING / SALARY SCHEDULE</t>
  </si>
  <si>
    <t>Agency Name:</t>
  </si>
  <si>
    <t>Contract Type:</t>
  </si>
  <si>
    <t>Contract Period :</t>
  </si>
  <si>
    <t>Information</t>
  </si>
  <si>
    <t>Summary of</t>
  </si>
  <si>
    <t>Invoice Setup</t>
  </si>
  <si>
    <t>TACA Funds</t>
  </si>
  <si>
    <t>N/A</t>
  </si>
  <si>
    <t>THIS CONTRACT HAS EXPIRED AND CANNOT BE SIGNED</t>
  </si>
  <si>
    <t>&lt;- Budget Mods</t>
  </si>
  <si>
    <t>Domain Summary Rollup</t>
  </si>
  <si>
    <t>Select the Month of Invoice</t>
  </si>
  <si>
    <t>Value of :</t>
  </si>
  <si>
    <t>IndexMonth</t>
  </si>
  <si>
    <t>InvoiceMonth</t>
  </si>
  <si>
    <t>TACA Summary</t>
  </si>
  <si>
    <t>Allocation</t>
  </si>
  <si>
    <t>TACA Financials</t>
  </si>
  <si>
    <t>Allocate to Carryover</t>
  </si>
  <si>
    <t>YTD</t>
  </si>
  <si>
    <t>Carryover TACA</t>
  </si>
  <si>
    <t>Current TACA</t>
  </si>
  <si>
    <t>Totals</t>
  </si>
  <si>
    <t>Allocate to Current</t>
  </si>
  <si>
    <t>Budget Modification Justification</t>
  </si>
  <si>
    <t>Contract Period:</t>
  </si>
  <si>
    <t>Invoice Month:</t>
  </si>
  <si>
    <t>Proposed Contract Training Plan</t>
  </si>
  <si>
    <t>Conference/Training</t>
  </si>
  <si>
    <t># Attendees</t>
  </si>
  <si>
    <t>Total Cost</t>
  </si>
  <si>
    <t>Program Related Justification</t>
  </si>
  <si>
    <t>Total Combined Cost</t>
  </si>
  <si>
    <t>Cost per Person*</t>
  </si>
  <si>
    <t>* Total cost includes registration fees, travel, hotel, and per diem expenses.</t>
  </si>
  <si>
    <t>Instructions</t>
  </si>
  <si>
    <r>
      <t xml:space="preserve">This form is to report </t>
    </r>
    <r>
      <rPr>
        <b/>
        <sz val="11"/>
        <color theme="1"/>
        <rFont val="Calibri"/>
        <family val="2"/>
        <scheme val="minor"/>
      </rPr>
      <t>anticipated</t>
    </r>
    <r>
      <rPr>
        <sz val="11"/>
        <color theme="1"/>
        <rFont val="Calibri"/>
        <family val="2"/>
        <scheme val="minor"/>
      </rPr>
      <t xml:space="preserve"> activities that will be directly charged in whole or in part to this contract (on the Travel/Conferences &amp; Meetings line item budget line). The Department understands that agencies cannot know in detail, a year in advance, all related training activities it will anticipate in, or th exact related costs it will incur. However, agencies generally know the frequency and type of most program-related training activities staff will attend during a year, and can realistically budget for this activity.</t>
    </r>
  </si>
  <si>
    <t>InSt / OoSt</t>
  </si>
  <si>
    <t>City, State</t>
  </si>
  <si>
    <t>In State Cost</t>
  </si>
  <si>
    <t>Out of State Cost</t>
  </si>
  <si>
    <t>TACA</t>
  </si>
  <si>
    <t>Final Contract Invoice Dates</t>
  </si>
  <si>
    <t>Number of budget modifications this fiscal year to date?</t>
  </si>
  <si>
    <t>A</t>
  </si>
  <si>
    <t>Sample Contact</t>
  </si>
  <si>
    <t>615-555-1234</t>
  </si>
  <si>
    <t>sample.contact@fake.com</t>
  </si>
  <si>
    <t>FY19-67890</t>
  </si>
  <si>
    <t>FY20-12345</t>
  </si>
  <si>
    <t>Edition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</si>
</sst>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43" formatCode="_(* #,##0.00_);_(* \(#,##0.00\);_(* &quot;-&quot;??_);_(@_)"/>
    <numFmt numFmtId="164" formatCode="mmm\ dd\,\ yyyy"/>
    <numFmt numFmtId="165" formatCode="0.0%"/>
    <numFmt numFmtId="166" formatCode="mmm\ yyyy"/>
    <numFmt numFmtId="167" formatCode="0.0"/>
    <numFmt numFmtId="168" formatCode="0.0&quot; hrs per week&quot;"/>
    <numFmt numFmtId="169" formatCode="0.0&quot; hrs/wk&quot;"/>
    <numFmt numFmtId="170" formatCode=";;;"/>
    <numFmt numFmtId="171" formatCode="mmmm\ yyyy"/>
    <numFmt numFmtId="172" formatCode="0.0000"/>
    <numFmt numFmtId="173" formatCode="mm/dd/yyyy"/>
    <numFmt numFmtId="174" formatCode="mmm\ yy"/>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b/>
      <sz val="10"/>
      <color theme="1"/>
      <name val="Calibri"/>
      <family val="2"/>
      <scheme val="minor"/>
    </font>
    <font>
      <sz val="8"/>
      <color theme="1"/>
      <name val="Calibri"/>
      <family val="2"/>
      <scheme val="minor"/>
    </font>
    <font>
      <sz val="18"/>
      <color theme="1"/>
      <name val="Calibri"/>
      <family val="2"/>
      <scheme val="minor"/>
    </font>
    <font>
      <b/>
      <sz val="18"/>
      <color theme="1"/>
      <name val="Calibri"/>
      <family val="2"/>
      <scheme val="minor"/>
    </font>
    <font>
      <b/>
      <sz val="11"/>
      <color rgb="FFC00000"/>
      <name val="Calibri"/>
      <family val="2"/>
      <scheme val="minor"/>
    </font>
    <font>
      <b/>
      <sz val="14"/>
      <color theme="1"/>
      <name val="Calibri"/>
      <family val="2"/>
      <scheme val="minor"/>
    </font>
    <font>
      <i/>
      <sz val="11"/>
      <color theme="1"/>
      <name val="Calibri"/>
      <family val="2"/>
      <scheme val="minor"/>
    </font>
    <font>
      <sz val="14"/>
      <color theme="0"/>
      <name val="Calibri"/>
      <family val="2"/>
      <scheme val="minor"/>
    </font>
    <font>
      <b/>
      <sz val="16"/>
      <color theme="1"/>
      <name val="Calibri"/>
      <family val="2"/>
      <scheme val="minor"/>
    </font>
    <font>
      <sz val="20"/>
      <color rgb="FFFF0000"/>
      <name val="Calibri"/>
      <family val="2"/>
      <scheme val="minor"/>
    </font>
    <font>
      <b/>
      <sz val="11"/>
      <name val="Calibri"/>
      <family val="2"/>
      <scheme val="minor"/>
    </font>
    <font>
      <sz val="11"/>
      <name val="Calibri"/>
      <family val="2"/>
      <scheme val="minor"/>
    </font>
    <font>
      <b/>
      <u/>
      <sz val="11"/>
      <color theme="1"/>
      <name val="Calibri"/>
      <family val="2"/>
      <scheme val="minor"/>
    </font>
    <font>
      <b/>
      <sz val="11"/>
      <color rgb="FFFF0000"/>
      <name val="Calibri"/>
      <family val="2"/>
      <scheme val="minor"/>
    </font>
    <font>
      <sz val="16"/>
      <color theme="1"/>
      <name val="Calibri"/>
      <family val="2"/>
      <scheme val="minor"/>
    </font>
  </fonts>
  <fills count="11">
    <fill>
      <patternFill patternType="none"/>
    </fill>
    <fill>
      <patternFill patternType="gray125"/>
    </fill>
    <fill>
      <patternFill patternType="solid">
        <fgColor rgb="FFFFFFCC"/>
        <bgColor indexed="64"/>
      </patternFill>
    </fill>
    <fill>
      <patternFill patternType="solid">
        <fgColor theme="3"/>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5"/>
        <bgColor indexed="64"/>
      </patternFill>
    </fill>
    <fill>
      <patternFill patternType="solid">
        <fgColor theme="4" tint="-0.249977111117893"/>
        <bgColor indexed="64"/>
      </patternFill>
    </fill>
    <fill>
      <patternFill patternType="solid">
        <fgColor theme="4"/>
        <bgColor indexed="64"/>
      </patternFill>
    </fill>
    <fill>
      <patternFill patternType="solid">
        <fgColor theme="5" tint="-0.249977111117893"/>
        <bgColor indexed="64"/>
      </patternFill>
    </fill>
    <fill>
      <patternFill patternType="solid">
        <fgColor rgb="FFFFFF00"/>
        <bgColor indexed="64"/>
      </patternFill>
    </fill>
  </fills>
  <borders count="6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double">
        <color auto="1"/>
      </left>
      <right style="thin">
        <color auto="1"/>
      </right>
      <top style="thin">
        <color auto="1"/>
      </top>
      <bottom style="hair">
        <color auto="1"/>
      </bottom>
      <diagonal/>
    </border>
    <border>
      <left style="double">
        <color auto="1"/>
      </left>
      <right style="thin">
        <color auto="1"/>
      </right>
      <top style="hair">
        <color auto="1"/>
      </top>
      <bottom style="hair">
        <color auto="1"/>
      </bottom>
      <diagonal/>
    </border>
    <border>
      <left style="double">
        <color auto="1"/>
      </left>
      <right style="thin">
        <color auto="1"/>
      </right>
      <top style="hair">
        <color auto="1"/>
      </top>
      <bottom style="thin">
        <color auto="1"/>
      </bottom>
      <diagonal/>
    </border>
    <border>
      <left style="thin">
        <color theme="0" tint="-4.9989318521683403E-2"/>
      </left>
      <right/>
      <top/>
      <bottom style="thin">
        <color auto="1"/>
      </bottom>
      <diagonal/>
    </border>
    <border>
      <left style="thin">
        <color theme="0" tint="-4.9989318521683403E-2"/>
      </left>
      <right/>
      <top style="thin">
        <color auto="1"/>
      </top>
      <bottom/>
      <diagonal/>
    </border>
    <border>
      <left style="thin">
        <color auto="1"/>
      </left>
      <right style="hair">
        <color theme="0" tint="-0.14996795556505021"/>
      </right>
      <top style="thin">
        <color auto="1"/>
      </top>
      <bottom style="thin">
        <color auto="1"/>
      </bottom>
      <diagonal/>
    </border>
    <border>
      <left style="hair">
        <color theme="0" tint="-0.14996795556505021"/>
      </left>
      <right style="hair">
        <color theme="0" tint="-0.14996795556505021"/>
      </right>
      <top style="thin">
        <color auto="1"/>
      </top>
      <bottom style="thin">
        <color auto="1"/>
      </bottom>
      <diagonal/>
    </border>
    <border>
      <left style="hair">
        <color theme="0" tint="-0.14996795556505021"/>
      </left>
      <right style="thin">
        <color auto="1"/>
      </right>
      <top style="thin">
        <color auto="1"/>
      </top>
      <bottom style="thin">
        <color auto="1"/>
      </bottom>
      <diagonal/>
    </border>
    <border>
      <left style="double">
        <color auto="1"/>
      </left>
      <right style="hair">
        <color auto="1"/>
      </right>
      <top style="thin">
        <color auto="1"/>
      </top>
      <bottom style="thin">
        <color auto="1"/>
      </bottom>
      <diagonal/>
    </border>
    <border>
      <left style="hair">
        <color auto="1"/>
      </left>
      <right style="double">
        <color auto="1"/>
      </right>
      <top style="thin">
        <color auto="1"/>
      </top>
      <bottom style="thin">
        <color auto="1"/>
      </bottom>
      <diagonal/>
    </border>
    <border>
      <left style="hair">
        <color auto="1"/>
      </left>
      <right/>
      <top style="thin">
        <color auto="1"/>
      </top>
      <bottom style="thin">
        <color auto="1"/>
      </bottom>
      <diagonal/>
    </border>
    <border>
      <left style="thin">
        <color theme="0" tint="-4.9989318521683403E-2"/>
      </left>
      <right/>
      <top/>
      <bottom/>
      <diagonal/>
    </border>
    <border>
      <left/>
      <right style="thin">
        <color theme="0" tint="-4.9989318521683403E-2"/>
      </right>
      <top/>
      <bottom/>
      <diagonal/>
    </border>
    <border>
      <left/>
      <right/>
      <top style="thin">
        <color auto="1"/>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hair">
        <color auto="1"/>
      </right>
      <top style="thin">
        <color auto="1"/>
      </top>
      <bottom style="thin">
        <color auto="1"/>
      </bottom>
      <diagonal/>
    </border>
    <border>
      <left/>
      <right/>
      <top style="thin">
        <color theme="0" tint="-0.34998626667073579"/>
      </top>
      <bottom style="thin">
        <color theme="0" tint="-0.34998626667073579"/>
      </bottom>
      <diagonal/>
    </border>
  </borders>
  <cellStyleXfs count="5">
    <xf numFmtId="0" fontId="0" fillId="0" borderId="0"/>
    <xf numFmtId="44" fontId="1"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39">
    <xf numFmtId="0" fontId="0" fillId="0" borderId="0" xfId="0"/>
    <xf numFmtId="164" fontId="0" fillId="0" borderId="0" xfId="0" applyNumberFormat="1"/>
    <xf numFmtId="0" fontId="0" fillId="0" borderId="12" xfId="0" applyBorder="1"/>
    <xf numFmtId="0" fontId="6" fillId="3" borderId="0" xfId="0" applyFont="1" applyFill="1"/>
    <xf numFmtId="0" fontId="0" fillId="0" borderId="13" xfId="0" applyBorder="1"/>
    <xf numFmtId="0" fontId="0" fillId="0" borderId="14" xfId="0" applyBorder="1"/>
    <xf numFmtId="0" fontId="6" fillId="3" borderId="1" xfId="0" applyFont="1" applyFill="1" applyBorder="1" applyAlignment="1">
      <alignment horizontal="center"/>
    </xf>
    <xf numFmtId="0" fontId="6" fillId="3" borderId="2" xfId="0" applyFont="1" applyFill="1" applyBorder="1" applyAlignment="1">
      <alignment horizontal="center"/>
    </xf>
    <xf numFmtId="0" fontId="6" fillId="3" borderId="3" xfId="0" applyFont="1" applyFill="1" applyBorder="1" applyAlignment="1">
      <alignment horizontal="center"/>
    </xf>
    <xf numFmtId="0" fontId="0" fillId="0" borderId="11" xfId="0" applyBorder="1"/>
    <xf numFmtId="0" fontId="0" fillId="3" borderId="0" xfId="0" applyFill="1" applyProtection="1">
      <protection hidden="1"/>
    </xf>
    <xf numFmtId="0" fontId="0" fillId="3" borderId="0" xfId="0" applyFill="1" applyAlignment="1" applyProtection="1">
      <alignment horizontal="left" indent="1"/>
      <protection hidden="1"/>
    </xf>
    <xf numFmtId="0" fontId="0" fillId="0" borderId="0" xfId="0" applyProtection="1">
      <protection hidden="1"/>
    </xf>
    <xf numFmtId="0" fontId="12" fillId="0" borderId="20" xfId="0" applyFont="1" applyBorder="1" applyAlignment="1" applyProtection="1">
      <alignment horizontal="left" indent="1"/>
      <protection hidden="1"/>
    </xf>
    <xf numFmtId="0" fontId="0" fillId="0" borderId="21" xfId="0" applyBorder="1" applyProtection="1">
      <protection hidden="1"/>
    </xf>
    <xf numFmtId="0" fontId="0" fillId="0" borderId="22" xfId="0" applyBorder="1" applyProtection="1">
      <protection hidden="1"/>
    </xf>
    <xf numFmtId="0" fontId="12" fillId="0" borderId="23" xfId="0" applyFont="1" applyBorder="1" applyAlignment="1" applyProtection="1">
      <alignment horizontal="left" indent="1"/>
      <protection hidden="1"/>
    </xf>
    <xf numFmtId="0" fontId="0" fillId="0" borderId="0" xfId="0" applyBorder="1" applyProtection="1">
      <protection hidden="1"/>
    </xf>
    <xf numFmtId="0" fontId="0" fillId="0" borderId="24" xfId="0" applyBorder="1" applyProtection="1">
      <protection hidden="1"/>
    </xf>
    <xf numFmtId="0" fontId="0" fillId="0" borderId="23" xfId="0" applyBorder="1" applyAlignment="1" applyProtection="1">
      <alignment horizontal="left" indent="6"/>
      <protection hidden="1"/>
    </xf>
    <xf numFmtId="14" fontId="13" fillId="0" borderId="0" xfId="0" applyNumberFormat="1" applyFont="1" applyBorder="1" applyAlignment="1" applyProtection="1">
      <alignment horizontal="left" indent="2"/>
      <protection hidden="1"/>
    </xf>
    <xf numFmtId="0" fontId="0" fillId="0" borderId="25" xfId="0" applyBorder="1" applyAlignment="1" applyProtection="1">
      <alignment horizontal="left" indent="1"/>
      <protection hidden="1"/>
    </xf>
    <xf numFmtId="0" fontId="0" fillId="0" borderId="15" xfId="0" applyFill="1" applyBorder="1" applyProtection="1">
      <protection hidden="1"/>
    </xf>
    <xf numFmtId="0" fontId="0" fillId="0" borderId="15" xfId="0" applyBorder="1" applyProtection="1">
      <protection hidden="1"/>
    </xf>
    <xf numFmtId="0" fontId="0" fillId="0" borderId="26" xfId="0" applyBorder="1" applyProtection="1">
      <protection hidden="1"/>
    </xf>
    <xf numFmtId="0" fontId="0" fillId="0" borderId="23" xfId="0" applyBorder="1" applyAlignment="1" applyProtection="1">
      <alignment horizontal="left" indent="1"/>
      <protection hidden="1"/>
    </xf>
    <xf numFmtId="0" fontId="4" fillId="0" borderId="15" xfId="2" applyFill="1" applyBorder="1" applyProtection="1">
      <protection hidden="1"/>
    </xf>
    <xf numFmtId="49" fontId="0" fillId="0" borderId="15" xfId="0" applyNumberFormat="1" applyFill="1" applyBorder="1" applyProtection="1">
      <protection hidden="1"/>
    </xf>
    <xf numFmtId="0" fontId="0" fillId="3" borderId="0" xfId="0" applyFont="1" applyFill="1" applyProtection="1">
      <protection hidden="1"/>
    </xf>
    <xf numFmtId="0" fontId="0" fillId="0" borderId="23" xfId="0" applyFont="1" applyBorder="1" applyAlignment="1" applyProtection="1">
      <alignment horizontal="left" indent="1"/>
      <protection hidden="1"/>
    </xf>
    <xf numFmtId="0" fontId="0" fillId="0" borderId="0" xfId="0" applyFont="1" applyBorder="1" applyProtection="1">
      <protection hidden="1"/>
    </xf>
    <xf numFmtId="0" fontId="0" fillId="0" borderId="24" xfId="0" applyFont="1" applyBorder="1" applyProtection="1">
      <protection hidden="1"/>
    </xf>
    <xf numFmtId="0" fontId="0" fillId="0" borderId="0" xfId="0" applyFont="1" applyProtection="1">
      <protection hidden="1"/>
    </xf>
    <xf numFmtId="0" fontId="2" fillId="0" borderId="27" xfId="0" applyFont="1" applyBorder="1" applyAlignment="1" applyProtection="1">
      <alignment horizontal="left" indent="1"/>
      <protection hidden="1"/>
    </xf>
    <xf numFmtId="0" fontId="2" fillId="0" borderId="5" xfId="0" applyFont="1" applyBorder="1" applyAlignment="1" applyProtection="1">
      <alignment horizontal="center"/>
      <protection hidden="1"/>
    </xf>
    <xf numFmtId="0" fontId="2" fillId="0" borderId="28" xfId="0" applyFont="1" applyBorder="1" applyAlignment="1" applyProtection="1">
      <alignment horizontal="center"/>
      <protection hidden="1"/>
    </xf>
    <xf numFmtId="0" fontId="0" fillId="0" borderId="29" xfId="0" applyBorder="1" applyAlignment="1" applyProtection="1">
      <alignment horizontal="left" indent="1"/>
      <protection hidden="1"/>
    </xf>
    <xf numFmtId="44" fontId="2" fillId="5" borderId="30" xfId="1" applyFont="1" applyFill="1" applyBorder="1" applyProtection="1">
      <protection hidden="1"/>
    </xf>
    <xf numFmtId="0" fontId="0" fillId="0" borderId="31" xfId="0" applyBorder="1" applyAlignment="1" applyProtection="1">
      <alignment horizontal="left" indent="1"/>
      <protection hidden="1"/>
    </xf>
    <xf numFmtId="44" fontId="2" fillId="5" borderId="32" xfId="1" applyFont="1" applyFill="1" applyBorder="1" applyProtection="1">
      <protection hidden="1"/>
    </xf>
    <xf numFmtId="0" fontId="0" fillId="0" borderId="33" xfId="0" applyBorder="1" applyAlignment="1" applyProtection="1">
      <alignment horizontal="left" indent="1"/>
      <protection hidden="1"/>
    </xf>
    <xf numFmtId="44" fontId="2" fillId="5" borderId="34" xfId="1" applyFont="1" applyFill="1" applyBorder="1" applyProtection="1">
      <protection hidden="1"/>
    </xf>
    <xf numFmtId="0" fontId="2" fillId="0" borderId="25" xfId="0" applyFont="1" applyBorder="1" applyAlignment="1" applyProtection="1">
      <alignment horizontal="left" indent="1"/>
      <protection hidden="1"/>
    </xf>
    <xf numFmtId="44" fontId="2" fillId="0" borderId="15" xfId="1" applyFont="1" applyBorder="1" applyProtection="1">
      <protection hidden="1"/>
    </xf>
    <xf numFmtId="44" fontId="2" fillId="0" borderId="26" xfId="1" applyFont="1" applyBorder="1" applyProtection="1">
      <protection hidden="1"/>
    </xf>
    <xf numFmtId="0" fontId="4" fillId="0" borderId="24" xfId="2" applyBorder="1" applyAlignment="1" applyProtection="1">
      <alignment horizontal="center"/>
      <protection hidden="1"/>
    </xf>
    <xf numFmtId="44" fontId="0" fillId="0" borderId="8" xfId="0" applyNumberFormat="1" applyBorder="1" applyProtection="1">
      <protection hidden="1"/>
    </xf>
    <xf numFmtId="44" fontId="0" fillId="5" borderId="30" xfId="0" applyNumberFormat="1" applyFill="1" applyBorder="1" applyProtection="1">
      <protection hidden="1"/>
    </xf>
    <xf numFmtId="44" fontId="0" fillId="0" borderId="9" xfId="0" applyNumberFormat="1" applyBorder="1" applyProtection="1">
      <protection hidden="1"/>
    </xf>
    <xf numFmtId="44" fontId="0" fillId="5" borderId="32" xfId="0" applyNumberFormat="1" applyFill="1" applyBorder="1" applyProtection="1">
      <protection hidden="1"/>
    </xf>
    <xf numFmtId="44" fontId="0" fillId="0" borderId="10" xfId="0" applyNumberFormat="1" applyBorder="1" applyProtection="1">
      <protection hidden="1"/>
    </xf>
    <xf numFmtId="44" fontId="0" fillId="5" borderId="34" xfId="0" applyNumberFormat="1" applyFill="1" applyBorder="1" applyProtection="1">
      <protection hidden="1"/>
    </xf>
    <xf numFmtId="0" fontId="0" fillId="0" borderId="0" xfId="0" applyAlignment="1" applyProtection="1">
      <alignment horizontal="left" indent="1"/>
      <protection hidden="1"/>
    </xf>
    <xf numFmtId="0" fontId="0" fillId="2" borderId="7" xfId="0" applyFill="1" applyBorder="1" applyAlignment="1" applyProtection="1">
      <alignment horizontal="left"/>
      <protection locked="0"/>
    </xf>
    <xf numFmtId="44" fontId="0" fillId="2" borderId="8" xfId="1" applyFont="1" applyFill="1" applyBorder="1" applyProtection="1">
      <protection locked="0"/>
    </xf>
    <xf numFmtId="44" fontId="0" fillId="2" borderId="9" xfId="1" applyFont="1" applyFill="1" applyBorder="1" applyProtection="1">
      <protection locked="0"/>
    </xf>
    <xf numFmtId="44" fontId="0" fillId="2" borderId="10" xfId="1" applyFont="1" applyFill="1" applyBorder="1" applyProtection="1">
      <protection locked="0"/>
    </xf>
    <xf numFmtId="0" fontId="14" fillId="0" borderId="0" xfId="0" applyFont="1" applyAlignment="1" applyProtection="1">
      <alignment horizontal="center" vertical="center"/>
      <protection hidden="1"/>
    </xf>
    <xf numFmtId="0" fontId="10" fillId="0" borderId="0" xfId="0" applyFont="1" applyAlignment="1" applyProtection="1">
      <alignment horizontal="centerContinuous"/>
      <protection hidden="1"/>
    </xf>
    <xf numFmtId="0" fontId="0" fillId="0" borderId="0" xfId="0" applyAlignment="1" applyProtection="1">
      <alignment horizontal="centerContinuous"/>
      <protection hidden="1"/>
    </xf>
    <xf numFmtId="0" fontId="15" fillId="0" borderId="0" xfId="0" applyFont="1" applyProtection="1">
      <protection hidden="1"/>
    </xf>
    <xf numFmtId="0" fontId="5" fillId="4" borderId="1" xfId="0" applyFont="1" applyFill="1" applyBorder="1" applyAlignment="1" applyProtection="1">
      <alignment horizontal="centerContinuous"/>
      <protection hidden="1"/>
    </xf>
    <xf numFmtId="0" fontId="5" fillId="4" borderId="2" xfId="0" applyFont="1" applyFill="1" applyBorder="1" applyAlignment="1" applyProtection="1">
      <alignment horizontal="centerContinuous"/>
      <protection hidden="1"/>
    </xf>
    <xf numFmtId="0" fontId="5" fillId="4" borderId="42" xfId="0" applyFont="1" applyFill="1" applyBorder="1" applyAlignment="1" applyProtection="1">
      <alignment horizontal="centerContinuous"/>
      <protection hidden="1"/>
    </xf>
    <xf numFmtId="0" fontId="5" fillId="4" borderId="3" xfId="0" applyFont="1" applyFill="1" applyBorder="1" applyAlignment="1" applyProtection="1">
      <alignment horizontal="centerContinuous"/>
      <protection hidden="1"/>
    </xf>
    <xf numFmtId="0" fontId="5" fillId="9" borderId="16" xfId="0" applyFont="1" applyFill="1" applyBorder="1" applyAlignment="1" applyProtection="1">
      <alignment horizontal="centerContinuous"/>
      <protection hidden="1"/>
    </xf>
    <xf numFmtId="0" fontId="5" fillId="7" borderId="16" xfId="0" applyFont="1" applyFill="1" applyBorder="1" applyAlignment="1" applyProtection="1">
      <alignment horizontal="centerContinuous"/>
      <protection hidden="1"/>
    </xf>
    <xf numFmtId="0" fontId="6" fillId="3" borderId="4" xfId="0" applyFont="1" applyFill="1" applyBorder="1" applyAlignment="1" applyProtection="1">
      <alignment horizontal="center"/>
      <protection hidden="1"/>
    </xf>
    <xf numFmtId="0" fontId="6" fillId="3" borderId="5" xfId="0" applyFont="1" applyFill="1" applyBorder="1" applyAlignment="1" applyProtection="1">
      <alignment horizontal="center"/>
      <protection hidden="1"/>
    </xf>
    <xf numFmtId="0" fontId="6" fillId="3" borderId="41" xfId="0" applyFont="1" applyFill="1" applyBorder="1" applyAlignment="1" applyProtection="1">
      <alignment horizontal="center"/>
      <protection hidden="1"/>
    </xf>
    <xf numFmtId="0" fontId="6" fillId="3" borderId="6" xfId="0" applyFont="1" applyFill="1" applyBorder="1" applyAlignment="1" applyProtection="1">
      <alignment horizontal="center"/>
      <protection hidden="1"/>
    </xf>
    <xf numFmtId="0" fontId="6" fillId="6" borderId="17" xfId="0" applyFont="1" applyFill="1" applyBorder="1" applyAlignment="1" applyProtection="1">
      <alignment horizontal="center"/>
      <protection hidden="1"/>
    </xf>
    <xf numFmtId="0" fontId="6" fillId="8" borderId="17" xfId="0" applyFont="1" applyFill="1" applyBorder="1" applyAlignment="1" applyProtection="1">
      <alignment horizontal="center"/>
      <protection hidden="1"/>
    </xf>
    <xf numFmtId="0" fontId="0" fillId="0" borderId="18" xfId="0" applyBorder="1" applyProtection="1">
      <protection hidden="1"/>
    </xf>
    <xf numFmtId="44" fontId="0" fillId="0" borderId="8" xfId="1" applyFont="1" applyBorder="1" applyProtection="1">
      <protection hidden="1"/>
    </xf>
    <xf numFmtId="44" fontId="0" fillId="0" borderId="35" xfId="1" applyFont="1" applyBorder="1" applyProtection="1">
      <protection hidden="1"/>
    </xf>
    <xf numFmtId="44" fontId="0" fillId="0" borderId="38" xfId="1" applyFont="1" applyBorder="1" applyProtection="1">
      <protection hidden="1"/>
    </xf>
    <xf numFmtId="44" fontId="0" fillId="0" borderId="38" xfId="0" applyNumberFormat="1" applyBorder="1" applyProtection="1">
      <protection hidden="1"/>
    </xf>
    <xf numFmtId="44" fontId="0" fillId="0" borderId="0" xfId="0" applyNumberFormat="1" applyProtection="1">
      <protection hidden="1"/>
    </xf>
    <xf numFmtId="44" fontId="0" fillId="0" borderId="9" xfId="1" applyFont="1" applyBorder="1" applyProtection="1">
      <protection hidden="1"/>
    </xf>
    <xf numFmtId="44" fontId="0" fillId="0" borderId="36" xfId="1" applyFont="1" applyBorder="1" applyProtection="1">
      <protection hidden="1"/>
    </xf>
    <xf numFmtId="44" fontId="0" fillId="0" borderId="39" xfId="1" applyFont="1" applyBorder="1" applyProtection="1">
      <protection hidden="1"/>
    </xf>
    <xf numFmtId="44" fontId="0" fillId="0" borderId="39" xfId="0" applyNumberFormat="1" applyBorder="1" applyProtection="1">
      <protection hidden="1"/>
    </xf>
    <xf numFmtId="44" fontId="0" fillId="0" borderId="10" xfId="1" applyFont="1" applyBorder="1" applyProtection="1">
      <protection hidden="1"/>
    </xf>
    <xf numFmtId="44" fontId="0" fillId="0" borderId="37" xfId="1" applyFont="1" applyBorder="1" applyProtection="1">
      <protection hidden="1"/>
    </xf>
    <xf numFmtId="44" fontId="0" fillId="0" borderId="40" xfId="1" applyFont="1" applyBorder="1" applyProtection="1">
      <protection hidden="1"/>
    </xf>
    <xf numFmtId="44" fontId="0" fillId="0" borderId="40" xfId="0" applyNumberFormat="1" applyBorder="1" applyProtection="1">
      <protection hidden="1"/>
    </xf>
    <xf numFmtId="0" fontId="2" fillId="0" borderId="2" xfId="0" applyFont="1" applyFill="1" applyBorder="1" applyAlignment="1" applyProtection="1">
      <alignment horizontal="right"/>
      <protection hidden="1"/>
    </xf>
    <xf numFmtId="44" fontId="2" fillId="0" borderId="0" xfId="1" applyFont="1" applyProtection="1">
      <protection hidden="1"/>
    </xf>
    <xf numFmtId="166" fontId="2" fillId="0" borderId="0" xfId="0" applyNumberFormat="1" applyFont="1" applyAlignment="1" applyProtection="1">
      <alignment horizontal="center"/>
      <protection hidden="1"/>
    </xf>
    <xf numFmtId="0" fontId="2" fillId="0" borderId="0" xfId="0" applyFont="1" applyProtection="1">
      <protection hidden="1"/>
    </xf>
    <xf numFmtId="44" fontId="0" fillId="0" borderId="13" xfId="1" applyFont="1" applyBorder="1" applyProtection="1">
      <protection hidden="1"/>
    </xf>
    <xf numFmtId="165" fontId="0" fillId="0" borderId="18" xfId="3" applyNumberFormat="1" applyFont="1" applyBorder="1" applyAlignment="1" applyProtection="1">
      <alignment horizontal="center"/>
      <protection hidden="1"/>
    </xf>
    <xf numFmtId="44" fontId="0" fillId="0" borderId="19" xfId="0" applyNumberFormat="1" applyBorder="1" applyProtection="1">
      <protection hidden="1"/>
    </xf>
    <xf numFmtId="44" fontId="2" fillId="0" borderId="0" xfId="0" applyNumberFormat="1" applyFont="1" applyProtection="1">
      <protection hidden="1"/>
    </xf>
    <xf numFmtId="44" fontId="0" fillId="0" borderId="0" xfId="0" applyNumberFormat="1" applyAlignment="1" applyProtection="1">
      <alignment horizontal="right"/>
      <protection hidden="1"/>
    </xf>
    <xf numFmtId="0" fontId="11" fillId="0" borderId="0" xfId="0" applyNumberFormat="1" applyFont="1" applyAlignment="1" applyProtection="1">
      <alignment horizontal="left"/>
      <protection hidden="1"/>
    </xf>
    <xf numFmtId="0" fontId="2" fillId="0" borderId="0" xfId="0" applyFont="1" applyAlignment="1" applyProtection="1">
      <alignment horizontal="right"/>
      <protection hidden="1"/>
    </xf>
    <xf numFmtId="44" fontId="0" fillId="0" borderId="12" xfId="1" applyFont="1" applyBorder="1" applyProtection="1">
      <protection locked="0"/>
    </xf>
    <xf numFmtId="44" fontId="0" fillId="0" borderId="13" xfId="1" applyFont="1" applyBorder="1" applyProtection="1">
      <protection locked="0"/>
    </xf>
    <xf numFmtId="44" fontId="0" fillId="0" borderId="14" xfId="1" applyFont="1" applyBorder="1" applyProtection="1">
      <protection locked="0"/>
    </xf>
    <xf numFmtId="0" fontId="9" fillId="0" borderId="0" xfId="0" applyFont="1" applyAlignment="1" applyProtection="1">
      <alignment horizontal="centerContinuous"/>
      <protection hidden="1"/>
    </xf>
    <xf numFmtId="0" fontId="5" fillId="3" borderId="0" xfId="0" applyFont="1" applyFill="1" applyProtection="1">
      <protection hidden="1"/>
    </xf>
    <xf numFmtId="0" fontId="5" fillId="3" borderId="0" xfId="0" applyFont="1" applyFill="1" applyAlignment="1" applyProtection="1">
      <alignment horizontal="center"/>
      <protection hidden="1"/>
    </xf>
    <xf numFmtId="0" fontId="0" fillId="0" borderId="12" xfId="0" applyBorder="1" applyProtection="1">
      <protection hidden="1"/>
    </xf>
    <xf numFmtId="165" fontId="0" fillId="0" borderId="13" xfId="3" applyNumberFormat="1" applyFont="1" applyBorder="1" applyAlignment="1" applyProtection="1">
      <alignment horizontal="center"/>
      <protection hidden="1"/>
    </xf>
    <xf numFmtId="44" fontId="0" fillId="0" borderId="14" xfId="1" applyFont="1" applyBorder="1" applyAlignment="1" applyProtection="1">
      <alignment horizontal="center"/>
      <protection hidden="1"/>
    </xf>
    <xf numFmtId="165" fontId="2" fillId="0" borderId="0" xfId="3" applyNumberFormat="1" applyFont="1" applyAlignment="1" applyProtection="1">
      <alignment horizontal="center"/>
      <protection hidden="1"/>
    </xf>
    <xf numFmtId="0" fontId="6" fillId="3" borderId="16" xfId="0" applyFont="1" applyFill="1" applyBorder="1" applyAlignment="1" applyProtection="1">
      <alignment horizontal="center"/>
      <protection hidden="1"/>
    </xf>
    <xf numFmtId="0" fontId="2" fillId="0" borderId="17" xfId="0" applyFont="1" applyBorder="1" applyAlignment="1" applyProtection="1">
      <alignment horizontal="center"/>
      <protection hidden="1"/>
    </xf>
    <xf numFmtId="0" fontId="7" fillId="0" borderId="0" xfId="0" applyFont="1" applyAlignment="1" applyProtection="1">
      <alignment vertical="top"/>
      <protection hidden="1"/>
    </xf>
    <xf numFmtId="0" fontId="8" fillId="0" borderId="0" xfId="0" applyFont="1" applyAlignment="1" applyProtection="1">
      <alignment horizontal="right" vertical="top"/>
      <protection hidden="1"/>
    </xf>
    <xf numFmtId="44" fontId="0" fillId="0" borderId="11" xfId="0" applyNumberFormat="1" applyBorder="1" applyProtection="1">
      <protection hidden="1"/>
    </xf>
    <xf numFmtId="0" fontId="6" fillId="6" borderId="0" xfId="0" applyFont="1" applyFill="1" applyBorder="1" applyAlignment="1">
      <alignment horizontal="center"/>
    </xf>
    <xf numFmtId="0" fontId="6" fillId="6" borderId="0" xfId="0" applyFont="1" applyFill="1" applyBorder="1" applyAlignment="1">
      <alignment horizontal="left"/>
    </xf>
    <xf numFmtId="0" fontId="2" fillId="0" borderId="0" xfId="0" applyFont="1" applyBorder="1" applyAlignment="1" applyProtection="1">
      <alignment horizontal="right"/>
      <protection hidden="1"/>
    </xf>
    <xf numFmtId="44" fontId="0" fillId="2" borderId="7" xfId="1" applyFont="1" applyFill="1" applyBorder="1" applyProtection="1">
      <protection locked="0"/>
    </xf>
    <xf numFmtId="166" fontId="0" fillId="0" borderId="0" xfId="0" applyNumberFormat="1"/>
    <xf numFmtId="166" fontId="0" fillId="0" borderId="4" xfId="0" applyNumberFormat="1" applyBorder="1" applyAlignment="1">
      <alignment horizontal="center"/>
    </xf>
    <xf numFmtId="166" fontId="0" fillId="0" borderId="5" xfId="0" applyNumberFormat="1" applyBorder="1" applyAlignment="1">
      <alignment horizontal="center"/>
    </xf>
    <xf numFmtId="166" fontId="0" fillId="0" borderId="6" xfId="0" applyNumberFormat="1" applyBorder="1" applyAlignment="1">
      <alignment horizontal="center"/>
    </xf>
    <xf numFmtId="44" fontId="0" fillId="0" borderId="12" xfId="1" applyFont="1" applyFill="1" applyBorder="1" applyProtection="1">
      <protection locked="0"/>
    </xf>
    <xf numFmtId="44" fontId="0" fillId="0" borderId="13" xfId="1" applyFont="1" applyFill="1" applyBorder="1" applyProtection="1">
      <protection locked="0"/>
    </xf>
    <xf numFmtId="44" fontId="0" fillId="0" borderId="14" xfId="1" applyFont="1" applyFill="1" applyBorder="1" applyProtection="1">
      <protection locked="0"/>
    </xf>
    <xf numFmtId="0" fontId="13" fillId="0" borderId="0" xfId="0" applyFont="1" applyProtection="1">
      <protection hidden="1"/>
    </xf>
    <xf numFmtId="0" fontId="13" fillId="0" borderId="0" xfId="0" applyFont="1" applyAlignment="1" applyProtection="1">
      <alignment horizontal="centerContinuous"/>
      <protection hidden="1"/>
    </xf>
    <xf numFmtId="0" fontId="0" fillId="10" borderId="0" xfId="0" applyFill="1" applyProtection="1">
      <protection hidden="1"/>
    </xf>
    <xf numFmtId="44" fontId="0" fillId="10" borderId="0" xfId="0" applyNumberFormat="1" applyFill="1" applyProtection="1">
      <protection hidden="1"/>
    </xf>
    <xf numFmtId="44" fontId="0" fillId="0" borderId="7" xfId="1" applyFont="1" applyFill="1" applyBorder="1" applyProtection="1">
      <protection locked="0"/>
    </xf>
    <xf numFmtId="172" fontId="0" fillId="0" borderId="0" xfId="0" applyNumberFormat="1" applyProtection="1">
      <protection hidden="1"/>
    </xf>
    <xf numFmtId="0" fontId="0" fillId="0" borderId="18" xfId="0" applyBorder="1" applyAlignment="1" applyProtection="1">
      <protection hidden="1"/>
    </xf>
    <xf numFmtId="0" fontId="0" fillId="0" borderId="0" xfId="0" applyAlignment="1" applyProtection="1">
      <alignment vertical="top" wrapText="1"/>
      <protection hidden="1"/>
    </xf>
    <xf numFmtId="0" fontId="2" fillId="0" borderId="0" xfId="0" applyFont="1" applyAlignment="1" applyProtection="1">
      <alignment vertical="top" wrapText="1"/>
      <protection hidden="1"/>
    </xf>
    <xf numFmtId="171" fontId="0" fillId="0" borderId="0" xfId="0" applyNumberFormat="1" applyAlignment="1" applyProtection="1">
      <alignment horizontal="left"/>
      <protection hidden="1"/>
    </xf>
    <xf numFmtId="0" fontId="0" fillId="0" borderId="0" xfId="0" applyAlignment="1" applyProtection="1">
      <protection hidden="1"/>
    </xf>
    <xf numFmtId="0" fontId="0" fillId="0" borderId="11" xfId="0" applyBorder="1" applyAlignment="1" applyProtection="1">
      <protection hidden="1"/>
    </xf>
    <xf numFmtId="0" fontId="9" fillId="0" borderId="0" xfId="0" applyFont="1" applyProtection="1">
      <protection hidden="1"/>
    </xf>
    <xf numFmtId="0" fontId="0" fillId="0" borderId="0" xfId="0" applyAlignment="1" applyProtection="1">
      <alignment horizontal="right"/>
      <protection hidden="1"/>
    </xf>
    <xf numFmtId="0" fontId="6" fillId="3" borderId="43" xfId="0" applyFont="1" applyFill="1" applyBorder="1" applyAlignment="1" applyProtection="1">
      <alignment horizontal="center"/>
      <protection hidden="1"/>
    </xf>
    <xf numFmtId="0" fontId="6" fillId="3" borderId="44" xfId="0" applyFont="1" applyFill="1" applyBorder="1" applyAlignment="1" applyProtection="1">
      <alignment horizontal="center"/>
      <protection hidden="1"/>
    </xf>
    <xf numFmtId="0" fontId="6" fillId="3" borderId="45" xfId="0" applyFont="1" applyFill="1" applyBorder="1" applyAlignment="1" applyProtection="1">
      <alignment horizontal="center"/>
      <protection hidden="1"/>
    </xf>
    <xf numFmtId="0" fontId="0" fillId="0" borderId="0" xfId="0" applyAlignment="1" applyProtection="1">
      <alignment horizontal="center"/>
      <protection hidden="1"/>
    </xf>
    <xf numFmtId="169" fontId="0" fillId="0" borderId="8" xfId="0" applyNumberFormat="1" applyBorder="1" applyAlignment="1" applyProtection="1">
      <alignment horizontal="center"/>
      <protection hidden="1"/>
    </xf>
    <xf numFmtId="1" fontId="0" fillId="0" borderId="8" xfId="4" applyNumberFormat="1" applyFont="1" applyBorder="1" applyAlignment="1" applyProtection="1">
      <alignment horizontal="center"/>
      <protection hidden="1"/>
    </xf>
    <xf numFmtId="44" fontId="0" fillId="0" borderId="8" xfId="1" applyFont="1" applyBorder="1" applyAlignment="1" applyProtection="1">
      <alignment horizontal="center"/>
      <protection hidden="1"/>
    </xf>
    <xf numFmtId="167" fontId="0" fillId="0" borderId="8" xfId="4" applyNumberFormat="1" applyFont="1" applyBorder="1" applyAlignment="1" applyProtection="1">
      <alignment horizontal="center"/>
      <protection hidden="1"/>
    </xf>
    <xf numFmtId="2" fontId="0" fillId="0" borderId="8" xfId="4" applyNumberFormat="1" applyFont="1" applyBorder="1" applyAlignment="1" applyProtection="1">
      <alignment horizontal="center"/>
      <protection hidden="1"/>
    </xf>
    <xf numFmtId="169" fontId="0" fillId="0" borderId="10" xfId="0" applyNumberFormat="1" applyBorder="1" applyAlignment="1" applyProtection="1">
      <alignment horizontal="center"/>
      <protection hidden="1"/>
    </xf>
    <xf numFmtId="1" fontId="0" fillId="0" borderId="10" xfId="4" applyNumberFormat="1" applyFont="1" applyBorder="1" applyAlignment="1" applyProtection="1">
      <alignment horizontal="center"/>
      <protection hidden="1"/>
    </xf>
    <xf numFmtId="44" fontId="0" fillId="0" borderId="10" xfId="1" applyFont="1" applyBorder="1" applyAlignment="1" applyProtection="1">
      <alignment horizontal="center"/>
      <protection hidden="1"/>
    </xf>
    <xf numFmtId="167" fontId="0" fillId="0" borderId="10" xfId="4" applyNumberFormat="1" applyFont="1" applyBorder="1" applyAlignment="1" applyProtection="1">
      <alignment horizontal="center"/>
      <protection hidden="1"/>
    </xf>
    <xf numFmtId="2" fontId="0" fillId="0" borderId="10" xfId="4" applyNumberFormat="1" applyFont="1" applyBorder="1" applyAlignment="1" applyProtection="1">
      <alignment horizontal="center"/>
      <protection hidden="1"/>
    </xf>
    <xf numFmtId="168" fontId="2" fillId="0" borderId="0" xfId="0" applyNumberFormat="1" applyFont="1" applyBorder="1" applyAlignment="1" applyProtection="1">
      <alignment horizontal="right"/>
      <protection hidden="1"/>
    </xf>
    <xf numFmtId="1" fontId="2" fillId="0" borderId="0" xfId="4" applyNumberFormat="1" applyFont="1" applyBorder="1" applyAlignment="1" applyProtection="1">
      <alignment horizontal="center"/>
      <protection hidden="1"/>
    </xf>
    <xf numFmtId="44" fontId="2" fillId="0" borderId="0" xfId="1" applyFont="1" applyBorder="1" applyAlignment="1" applyProtection="1">
      <alignment horizontal="center"/>
      <protection hidden="1"/>
    </xf>
    <xf numFmtId="167" fontId="2" fillId="0" borderId="0" xfId="4" applyNumberFormat="1" applyFont="1" applyBorder="1" applyAlignment="1" applyProtection="1">
      <alignment horizontal="center"/>
      <protection hidden="1"/>
    </xf>
    <xf numFmtId="2" fontId="2" fillId="0" borderId="0" xfId="4" applyNumberFormat="1" applyFont="1" applyBorder="1" applyAlignment="1" applyProtection="1">
      <alignment horizontal="center"/>
      <protection hidden="1"/>
    </xf>
    <xf numFmtId="0" fontId="5" fillId="3" borderId="43" xfId="0" applyFont="1" applyFill="1" applyBorder="1" applyAlignment="1" applyProtection="1">
      <alignment horizontal="left" vertical="center"/>
      <protection hidden="1"/>
    </xf>
    <xf numFmtId="0" fontId="5" fillId="3" borderId="44" xfId="0" applyFont="1" applyFill="1" applyBorder="1" applyAlignment="1" applyProtection="1">
      <alignment horizontal="left" vertical="center"/>
      <protection hidden="1"/>
    </xf>
    <xf numFmtId="0" fontId="5" fillId="3" borderId="44" xfId="0" applyFont="1" applyFill="1" applyBorder="1" applyAlignment="1" applyProtection="1">
      <alignment horizontal="center" vertical="center"/>
      <protection hidden="1"/>
    </xf>
    <xf numFmtId="0" fontId="5" fillId="3" borderId="44" xfId="0" applyFont="1" applyFill="1" applyBorder="1" applyAlignment="1" applyProtection="1">
      <alignment horizontal="center" vertical="center" wrapText="1"/>
      <protection hidden="1"/>
    </xf>
    <xf numFmtId="0" fontId="5" fillId="3" borderId="45" xfId="0" applyFont="1" applyFill="1" applyBorder="1" applyAlignment="1" applyProtection="1">
      <alignment horizontal="center" vertical="center"/>
      <protection hidden="1"/>
    </xf>
    <xf numFmtId="2" fontId="0" fillId="0" borderId="14" xfId="4" applyNumberFormat="1" applyFont="1" applyBorder="1" applyAlignment="1" applyProtection="1">
      <alignment horizontal="center"/>
      <protection hidden="1"/>
    </xf>
    <xf numFmtId="2" fontId="0" fillId="0" borderId="14" xfId="0" applyNumberFormat="1" applyBorder="1" applyAlignment="1" applyProtection="1">
      <alignment horizontal="center"/>
      <protection hidden="1"/>
    </xf>
    <xf numFmtId="0" fontId="0" fillId="0" borderId="12" xfId="0" applyBorder="1" applyProtection="1">
      <protection locked="0"/>
    </xf>
    <xf numFmtId="0" fontId="0" fillId="0" borderId="13" xfId="0" applyBorder="1" applyProtection="1">
      <protection locked="0"/>
    </xf>
    <xf numFmtId="167" fontId="0" fillId="0" borderId="13" xfId="0" applyNumberFormat="1" applyBorder="1" applyAlignment="1" applyProtection="1">
      <alignment horizontal="center"/>
      <protection locked="0"/>
    </xf>
    <xf numFmtId="44" fontId="0" fillId="0" borderId="12" xfId="1" applyFont="1" applyBorder="1" applyProtection="1">
      <protection hidden="1"/>
    </xf>
    <xf numFmtId="44" fontId="0" fillId="0" borderId="14" xfId="1" applyFont="1" applyBorder="1" applyProtection="1">
      <protection hidden="1"/>
    </xf>
    <xf numFmtId="0" fontId="5" fillId="4" borderId="0" xfId="0" applyFont="1" applyFill="1" applyAlignment="1" applyProtection="1">
      <alignment horizontal="centerContinuous"/>
      <protection hidden="1"/>
    </xf>
    <xf numFmtId="0" fontId="5" fillId="4" borderId="49" xfId="0" applyFont="1" applyFill="1" applyBorder="1" applyAlignment="1" applyProtection="1">
      <alignment horizontal="centerContinuous"/>
      <protection hidden="1"/>
    </xf>
    <xf numFmtId="0" fontId="5" fillId="4" borderId="0" xfId="0" applyFont="1" applyFill="1" applyBorder="1" applyAlignment="1" applyProtection="1">
      <alignment horizontal="centerContinuous"/>
      <protection hidden="1"/>
    </xf>
    <xf numFmtId="0" fontId="5" fillId="4" borderId="50" xfId="0" applyFont="1" applyFill="1" applyBorder="1" applyAlignment="1" applyProtection="1">
      <alignment horizontal="centerContinuous"/>
      <protection hidden="1"/>
    </xf>
    <xf numFmtId="0" fontId="6" fillId="3" borderId="0" xfId="0" applyFont="1" applyFill="1" applyAlignment="1" applyProtection="1">
      <alignment horizontal="center"/>
      <protection hidden="1"/>
    </xf>
    <xf numFmtId="0" fontId="6" fillId="3" borderId="49" xfId="0" applyFont="1" applyFill="1" applyBorder="1" applyAlignment="1" applyProtection="1">
      <alignment horizontal="center"/>
      <protection hidden="1"/>
    </xf>
    <xf numFmtId="0" fontId="6" fillId="3" borderId="0" xfId="0" applyFont="1" applyFill="1" applyBorder="1" applyAlignment="1" applyProtection="1">
      <alignment horizontal="center"/>
      <protection hidden="1"/>
    </xf>
    <xf numFmtId="0" fontId="6" fillId="3" borderId="50" xfId="0" applyFont="1" applyFill="1" applyBorder="1" applyAlignment="1" applyProtection="1">
      <alignment horizontal="center"/>
      <protection hidden="1"/>
    </xf>
    <xf numFmtId="44" fontId="0" fillId="0" borderId="13" xfId="0" applyNumberFormat="1" applyBorder="1" applyProtection="1">
      <protection hidden="1"/>
    </xf>
    <xf numFmtId="44" fontId="0" fillId="0" borderId="48" xfId="0" applyNumberFormat="1" applyBorder="1" applyProtection="1">
      <protection hidden="1"/>
    </xf>
    <xf numFmtId="44" fontId="0" fillId="0" borderId="46" xfId="1" applyFont="1" applyBorder="1" applyProtection="1">
      <protection hidden="1"/>
    </xf>
    <xf numFmtId="44" fontId="0" fillId="0" borderId="47" xfId="1" applyFont="1" applyBorder="1" applyProtection="1">
      <protection hidden="1"/>
    </xf>
    <xf numFmtId="0" fontId="2" fillId="0" borderId="0" xfId="0" applyFont="1" applyAlignment="1" applyProtection="1">
      <alignment horizontal="left"/>
      <protection hidden="1"/>
    </xf>
    <xf numFmtId="0" fontId="19" fillId="0" borderId="0" xfId="0" applyFont="1" applyProtection="1">
      <protection hidden="1"/>
    </xf>
    <xf numFmtId="0" fontId="8" fillId="0" borderId="0" xfId="0" applyFont="1" applyProtection="1">
      <protection hidden="1"/>
    </xf>
    <xf numFmtId="173" fontId="0" fillId="0" borderId="13" xfId="0" applyNumberFormat="1"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Protection="1">
      <protection locked="0"/>
    </xf>
    <xf numFmtId="0" fontId="0" fillId="0" borderId="11" xfId="0" applyBorder="1" applyAlignment="1">
      <alignment horizontal="center"/>
    </xf>
    <xf numFmtId="0" fontId="0" fillId="2" borderId="7" xfId="0" applyFont="1" applyFill="1" applyBorder="1" applyAlignment="1" applyProtection="1">
      <protection locked="0"/>
    </xf>
    <xf numFmtId="0" fontId="0" fillId="0" borderId="0" xfId="0" applyFont="1" applyAlignment="1" applyProtection="1">
      <alignment horizontal="right"/>
      <protection hidden="1"/>
    </xf>
    <xf numFmtId="44" fontId="1" fillId="0" borderId="0" xfId="1" applyFont="1" applyProtection="1">
      <protection hidden="1"/>
    </xf>
    <xf numFmtId="0" fontId="0" fillId="0" borderId="58" xfId="0" applyBorder="1" applyProtection="1">
      <protection hidden="1"/>
    </xf>
    <xf numFmtId="0" fontId="0" fillId="0" borderId="58" xfId="0" applyFont="1" applyBorder="1" applyProtection="1">
      <protection hidden="1"/>
    </xf>
    <xf numFmtId="44" fontId="1" fillId="0" borderId="58" xfId="1" applyFont="1" applyBorder="1" applyProtection="1">
      <protection hidden="1"/>
    </xf>
    <xf numFmtId="0" fontId="20" fillId="0" borderId="0" xfId="0" applyFont="1" applyProtection="1">
      <protection hidden="1"/>
    </xf>
    <xf numFmtId="44" fontId="2" fillId="0" borderId="0" xfId="1" applyFont="1" applyAlignment="1" applyProtection="1">
      <alignment horizontal="center"/>
      <protection hidden="1"/>
    </xf>
    <xf numFmtId="0" fontId="17" fillId="0" borderId="0" xfId="0" applyFont="1" applyAlignment="1" applyProtection="1">
      <alignment horizontal="right"/>
      <protection hidden="1"/>
    </xf>
    <xf numFmtId="174" fontId="0" fillId="0" borderId="0" xfId="0" applyNumberFormat="1" applyProtection="1">
      <protection hidden="1"/>
    </xf>
    <xf numFmtId="0" fontId="13" fillId="0" borderId="0" xfId="0" applyFont="1" applyAlignment="1" applyProtection="1">
      <alignment horizontal="left" indent="2"/>
      <protection hidden="1"/>
    </xf>
    <xf numFmtId="0" fontId="0" fillId="0" borderId="58" xfId="0" applyBorder="1" applyAlignment="1" applyProtection="1">
      <alignment horizontal="center"/>
      <protection hidden="1"/>
    </xf>
    <xf numFmtId="0" fontId="0" fillId="0" borderId="61" xfId="0" applyBorder="1" applyAlignment="1" applyProtection="1">
      <alignment horizontal="center"/>
      <protection hidden="1"/>
    </xf>
    <xf numFmtId="0" fontId="0" fillId="0" borderId="0" xfId="0" applyNumberFormat="1" applyProtection="1">
      <protection hidden="1"/>
    </xf>
    <xf numFmtId="166" fontId="0" fillId="2" borderId="7" xfId="0" applyNumberFormat="1" applyFill="1" applyBorder="1" applyAlignment="1" applyProtection="1">
      <alignment horizontal="center"/>
      <protection locked="0"/>
    </xf>
    <xf numFmtId="0" fontId="11" fillId="0" borderId="21" xfId="0" applyFont="1" applyBorder="1" applyAlignment="1" applyProtection="1">
      <alignment horizontal="center"/>
      <protection hidden="1"/>
    </xf>
    <xf numFmtId="0" fontId="0" fillId="0" borderId="23" xfId="0" applyFont="1" applyBorder="1" applyAlignment="1" applyProtection="1">
      <alignment horizontal="left" wrapText="1" indent="1"/>
      <protection hidden="1"/>
    </xf>
    <xf numFmtId="0" fontId="0" fillId="0" borderId="0" xfId="0" applyBorder="1" applyAlignment="1" applyProtection="1">
      <alignment horizontal="left" wrapText="1" indent="1"/>
      <protection hidden="1"/>
    </xf>
    <xf numFmtId="0" fontId="0" fillId="2" borderId="7" xfId="0" applyFill="1" applyBorder="1" applyProtection="1">
      <protection locked="0"/>
    </xf>
    <xf numFmtId="49" fontId="0" fillId="2" borderId="7" xfId="0" applyNumberFormat="1" applyFill="1" applyBorder="1" applyProtection="1">
      <protection locked="0"/>
    </xf>
    <xf numFmtId="0" fontId="4" fillId="2" borderId="7" xfId="2" applyFill="1" applyBorder="1" applyProtection="1">
      <protection locked="0"/>
    </xf>
    <xf numFmtId="0" fontId="0" fillId="0" borderId="0" xfId="0" applyFont="1" applyAlignment="1" applyProtection="1">
      <alignment wrapText="1"/>
      <protection hidden="1"/>
    </xf>
    <xf numFmtId="170" fontId="16" fillId="0" borderId="0" xfId="0" applyNumberFormat="1" applyFont="1" applyAlignment="1" applyProtection="1">
      <alignment horizontal="center" vertical="center" wrapText="1"/>
      <protection hidden="1"/>
    </xf>
    <xf numFmtId="170" fontId="16" fillId="0" borderId="0" xfId="0" applyNumberFormat="1" applyFont="1" applyAlignment="1" applyProtection="1">
      <alignment horizontal="center" vertical="center"/>
      <protection hidden="1"/>
    </xf>
    <xf numFmtId="170" fontId="16" fillId="0" borderId="15" xfId="0" applyNumberFormat="1" applyFont="1" applyBorder="1" applyAlignment="1" applyProtection="1">
      <alignment horizontal="center" vertical="center"/>
      <protection hidden="1"/>
    </xf>
    <xf numFmtId="44" fontId="11" fillId="0" borderId="0" xfId="0" applyNumberFormat="1"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18" xfId="0" applyBorder="1" applyAlignment="1" applyProtection="1">
      <alignment vertical="top" wrapText="1"/>
      <protection locked="0"/>
    </xf>
    <xf numFmtId="0" fontId="0" fillId="0" borderId="51" xfId="0" applyBorder="1" applyAlignment="1" applyProtection="1">
      <alignment vertical="top" wrapText="1"/>
      <protection locked="0"/>
    </xf>
    <xf numFmtId="0" fontId="0" fillId="0" borderId="19" xfId="0" applyBorder="1" applyAlignment="1" applyProtection="1">
      <alignment vertical="top" wrapText="1"/>
      <protection locked="0"/>
    </xf>
    <xf numFmtId="0" fontId="0" fillId="0" borderId="18" xfId="0" applyBorder="1" applyAlignment="1" applyProtection="1">
      <alignment wrapText="1"/>
      <protection locked="0"/>
    </xf>
    <xf numFmtId="0" fontId="0" fillId="0" borderId="51" xfId="0" applyBorder="1" applyAlignment="1" applyProtection="1">
      <alignment wrapText="1"/>
      <protection locked="0"/>
    </xf>
    <xf numFmtId="0" fontId="0" fillId="0" borderId="19" xfId="0" applyBorder="1" applyAlignment="1" applyProtection="1">
      <alignment wrapText="1"/>
      <protection locked="0"/>
    </xf>
    <xf numFmtId="0" fontId="18" fillId="0" borderId="2" xfId="0" applyFont="1" applyBorder="1" applyAlignment="1" applyProtection="1">
      <alignment vertical="center"/>
      <protection hidden="1"/>
    </xf>
    <xf numFmtId="0" fontId="18" fillId="0" borderId="0" xfId="0" applyFont="1" applyAlignment="1" applyProtection="1">
      <alignment vertical="center"/>
      <protection hidden="1"/>
    </xf>
    <xf numFmtId="0" fontId="0" fillId="0" borderId="18" xfId="0" applyBorder="1" applyProtection="1">
      <protection locked="0"/>
    </xf>
    <xf numFmtId="0" fontId="0" fillId="0" borderId="60" xfId="0" applyBorder="1" applyProtection="1">
      <protection locked="0"/>
    </xf>
    <xf numFmtId="0" fontId="5" fillId="3" borderId="5" xfId="0" applyFont="1" applyFill="1" applyBorder="1" applyProtection="1">
      <protection hidden="1"/>
    </xf>
    <xf numFmtId="0" fontId="0" fillId="0" borderId="0" xfId="0" applyAlignment="1" applyProtection="1">
      <alignment wrapText="1"/>
      <protection hidden="1"/>
    </xf>
    <xf numFmtId="0" fontId="0" fillId="0" borderId="52" xfId="0" applyBorder="1" applyAlignment="1" applyProtection="1">
      <alignment vertical="top" wrapText="1"/>
      <protection hidden="1"/>
    </xf>
    <xf numFmtId="0" fontId="0" fillId="0" borderId="53" xfId="0" applyBorder="1" applyAlignment="1" applyProtection="1">
      <alignment vertical="top" wrapText="1"/>
      <protection hidden="1"/>
    </xf>
    <xf numFmtId="0" fontId="0" fillId="0" borderId="54" xfId="0" applyBorder="1" applyAlignment="1" applyProtection="1">
      <alignment vertical="top" wrapText="1"/>
      <protection hidden="1"/>
    </xf>
    <xf numFmtId="0" fontId="0" fillId="0" borderId="55" xfId="0" applyBorder="1" applyAlignment="1" applyProtection="1">
      <alignment vertical="top" wrapText="1"/>
      <protection hidden="1"/>
    </xf>
    <xf numFmtId="0" fontId="0" fillId="0" borderId="0" xfId="0" applyBorder="1" applyAlignment="1" applyProtection="1">
      <alignment vertical="top" wrapText="1"/>
      <protection hidden="1"/>
    </xf>
    <xf numFmtId="0" fontId="0" fillId="0" borderId="56" xfId="0" applyBorder="1" applyAlignment="1" applyProtection="1">
      <alignment vertical="top" wrapText="1"/>
      <protection hidden="1"/>
    </xf>
    <xf numFmtId="0" fontId="0" fillId="0" borderId="57" xfId="0" applyBorder="1" applyAlignment="1" applyProtection="1">
      <alignment vertical="top" wrapText="1"/>
      <protection hidden="1"/>
    </xf>
    <xf numFmtId="0" fontId="0" fillId="0" borderId="58" xfId="0" applyBorder="1" applyAlignment="1" applyProtection="1">
      <alignment vertical="top" wrapText="1"/>
      <protection hidden="1"/>
    </xf>
    <xf numFmtId="0" fontId="0" fillId="0" borderId="59" xfId="0" applyBorder="1" applyAlignment="1" applyProtection="1">
      <alignment vertical="top" wrapText="1"/>
      <protection hidden="1"/>
    </xf>
    <xf numFmtId="0" fontId="0" fillId="2" borderId="7" xfId="0" applyFill="1" applyBorder="1" applyAlignment="1" applyProtection="1">
      <alignment horizontal="center"/>
      <protection locked="0"/>
    </xf>
    <xf numFmtId="171" fontId="21" fillId="0" borderId="0" xfId="0" applyNumberFormat="1" applyFont="1" applyAlignment="1" applyProtection="1">
      <alignment horizontal="right"/>
      <protection hidden="1"/>
    </xf>
    <xf numFmtId="44" fontId="2" fillId="0" borderId="11" xfId="0" applyNumberFormat="1" applyFont="1" applyBorder="1" applyProtection="1">
      <protection hidden="1"/>
    </xf>
  </cellXfs>
  <cellStyles count="5">
    <cellStyle name="Comma" xfId="4" builtinId="3"/>
    <cellStyle name="Currency" xfId="1" builtinId="4"/>
    <cellStyle name="Hyperlink" xfId="2" builtinId="8"/>
    <cellStyle name="Normal" xfId="0" builtinId="0"/>
    <cellStyle name="Percent" xfId="3" builtinId="5"/>
  </cellStyles>
  <dxfs count="39">
    <dxf>
      <fill>
        <patternFill>
          <bgColor theme="5" tint="0.79998168889431442"/>
        </patternFill>
      </fill>
    </dxf>
    <dxf>
      <fill>
        <patternFill>
          <bgColor theme="5" tint="0.79998168889431442"/>
        </patternFill>
      </fill>
    </dxf>
    <dxf>
      <numFmt numFmtId="170" formatCode=";;;"/>
    </dxf>
    <dxf>
      <font>
        <b/>
        <i val="0"/>
        <color rgb="FFFF0000"/>
      </font>
    </dxf>
    <dxf>
      <numFmt numFmtId="170" formatCode=";;;"/>
      <fill>
        <patternFill patternType="lightUp"/>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font>
        <b/>
        <i val="0"/>
        <color rgb="FFFF0000"/>
      </font>
      <fill>
        <patternFill>
          <bgColor rgb="FFFFCCCC"/>
        </patternFill>
      </fill>
    </dxf>
    <dxf>
      <fill>
        <patternFill>
          <bgColor rgb="FFEAEAEA"/>
        </patternFill>
      </fill>
    </dxf>
    <dxf>
      <fill>
        <patternFill patternType="lightUp">
          <bgColor auto="1"/>
        </patternFill>
      </fill>
    </dxf>
    <dxf>
      <numFmt numFmtId="0" formatCode="General"/>
      <fill>
        <patternFill patternType="lightUp"/>
      </fill>
    </dxf>
    <dxf>
      <font>
        <b/>
        <i val="0"/>
        <color rgb="FFFF0000"/>
      </font>
      <fill>
        <patternFill>
          <bgColor rgb="FFFFE1E1"/>
        </patternFill>
      </fill>
    </dxf>
  </dxfs>
  <tableStyles count="0" defaultTableStyle="TableStyleMedium2" defaultPivotStyle="PivotStyleLight16"/>
  <colors>
    <mruColors>
      <color rgb="FFFFCCCC"/>
      <color rgb="FFFFFFCC"/>
      <color rgb="FFEAEAEA"/>
      <color rgb="FFEFF6EA"/>
      <color rgb="FFFF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Combined Current and Carryover Expenditures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0283801423217815E-2"/>
          <c:y val="9.6306384182823945E-2"/>
          <c:w val="0.91010835543952728"/>
          <c:h val="0.6350834415573795"/>
        </c:manualLayout>
      </c:layout>
      <c:lineChart>
        <c:grouping val="standard"/>
        <c:varyColors val="0"/>
        <c:ser>
          <c:idx val="0"/>
          <c:order val="0"/>
          <c:tx>
            <c:strRef>
              <c:f>Summary!$J$5</c:f>
              <c:strCache>
                <c:ptCount val="1"/>
                <c:pt idx="0">
                  <c:v>EMP</c:v>
                </c:pt>
              </c:strCache>
            </c:strRef>
          </c:tx>
          <c:spPr>
            <a:ln w="28575" cap="rnd">
              <a:solidFill>
                <a:schemeClr val="accent1"/>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Summary!$K$5:$V$5</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8676-4C2D-9547-BA1417315B62}"/>
            </c:ext>
          </c:extLst>
        </c:ser>
        <c:ser>
          <c:idx val="1"/>
          <c:order val="1"/>
          <c:tx>
            <c:strRef>
              <c:f>Summary!$J$6</c:f>
              <c:strCache>
                <c:ptCount val="1"/>
                <c:pt idx="0">
                  <c:v>ED and CD</c:v>
                </c:pt>
              </c:strCache>
            </c:strRef>
          </c:tx>
          <c:spPr>
            <a:ln w="28575" cap="rnd">
              <a:solidFill>
                <a:schemeClr val="accent2"/>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Summary!$K$6:$V$6</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8676-4C2D-9547-BA1417315B62}"/>
            </c:ext>
          </c:extLst>
        </c:ser>
        <c:ser>
          <c:idx val="2"/>
          <c:order val="2"/>
          <c:tx>
            <c:strRef>
              <c:f>Summary!$J$7</c:f>
              <c:strCache>
                <c:ptCount val="1"/>
                <c:pt idx="0">
                  <c:v>II and AB</c:v>
                </c:pt>
              </c:strCache>
            </c:strRef>
          </c:tx>
          <c:spPr>
            <a:ln w="28575" cap="rnd">
              <a:solidFill>
                <a:schemeClr val="accent3"/>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Summary!$K$7:$V$7</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8676-4C2D-9547-BA1417315B62}"/>
            </c:ext>
          </c:extLst>
        </c:ser>
        <c:ser>
          <c:idx val="3"/>
          <c:order val="3"/>
          <c:tx>
            <c:strRef>
              <c:f>Summary!$J$8</c:f>
              <c:strCache>
                <c:ptCount val="1"/>
                <c:pt idx="0">
                  <c:v>Housing</c:v>
                </c:pt>
              </c:strCache>
            </c:strRef>
          </c:tx>
          <c:spPr>
            <a:ln w="28575" cap="rnd">
              <a:solidFill>
                <a:schemeClr val="accent4"/>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Summary!$K$8:$V$8</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8676-4C2D-9547-BA1417315B62}"/>
            </c:ext>
          </c:extLst>
        </c:ser>
        <c:ser>
          <c:idx val="4"/>
          <c:order val="4"/>
          <c:tx>
            <c:strRef>
              <c:f>Summary!$J$9</c:f>
              <c:strCache>
                <c:ptCount val="1"/>
                <c:pt idx="0">
                  <c:v>H and S BD</c:v>
                </c:pt>
              </c:strCache>
            </c:strRef>
          </c:tx>
          <c:spPr>
            <a:ln w="28575" cap="rnd">
              <a:solidFill>
                <a:schemeClr val="accent5"/>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Summary!$K$9:$V$9</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4-8676-4C2D-9547-BA1417315B62}"/>
            </c:ext>
          </c:extLst>
        </c:ser>
        <c:ser>
          <c:idx val="5"/>
          <c:order val="5"/>
          <c:tx>
            <c:strRef>
              <c:f>Summary!$J$10</c:f>
              <c:strCache>
                <c:ptCount val="1"/>
                <c:pt idx="0">
                  <c:v>CE and CI</c:v>
                </c:pt>
              </c:strCache>
            </c:strRef>
          </c:tx>
          <c:spPr>
            <a:ln w="28575" cap="rnd">
              <a:solidFill>
                <a:schemeClr val="accent6"/>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Summary!$K$10:$V$10</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5-8676-4C2D-9547-BA1417315B62}"/>
            </c:ext>
          </c:extLst>
        </c:ser>
        <c:ser>
          <c:idx val="6"/>
          <c:order val="6"/>
          <c:tx>
            <c:strRef>
              <c:f>Summary!$J$11</c:f>
              <c:strCache>
                <c:ptCount val="1"/>
                <c:pt idx="0">
                  <c:v>SSMD</c:v>
                </c:pt>
              </c:strCache>
            </c:strRef>
          </c:tx>
          <c:spPr>
            <a:ln w="28575" cap="rnd">
              <a:solidFill>
                <a:schemeClr val="accent1">
                  <a:lumMod val="60000"/>
                </a:schemeClr>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Summary!$K$11:$V$11</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6-8676-4C2D-9547-BA1417315B62}"/>
            </c:ext>
          </c:extLst>
        </c:ser>
        <c:ser>
          <c:idx val="7"/>
          <c:order val="7"/>
          <c:tx>
            <c:strRef>
              <c:f>Summary!$J$12</c:f>
              <c:strCache>
                <c:ptCount val="1"/>
                <c:pt idx="0">
                  <c:v>Linkages</c:v>
                </c:pt>
              </c:strCache>
            </c:strRef>
          </c:tx>
          <c:spPr>
            <a:ln w="28575" cap="rnd">
              <a:solidFill>
                <a:schemeClr val="accent2">
                  <a:lumMod val="60000"/>
                </a:schemeClr>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Summary!$K$12:$V$12</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7-8676-4C2D-9547-BA1417315B62}"/>
            </c:ext>
          </c:extLst>
        </c:ser>
        <c:ser>
          <c:idx val="8"/>
          <c:order val="8"/>
          <c:tx>
            <c:strRef>
              <c:f>Summary!$J$13</c:f>
              <c:strCache>
                <c:ptCount val="1"/>
                <c:pt idx="0">
                  <c:v>ACB</c:v>
                </c:pt>
              </c:strCache>
            </c:strRef>
          </c:tx>
          <c:spPr>
            <a:ln w="28575" cap="rnd">
              <a:solidFill>
                <a:schemeClr val="accent3">
                  <a:lumMod val="60000"/>
                </a:schemeClr>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Summary!$K$13:$V$13</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8-8676-4C2D-9547-BA1417315B62}"/>
            </c:ext>
          </c:extLst>
        </c:ser>
        <c:ser>
          <c:idx val="9"/>
          <c:order val="9"/>
          <c:tx>
            <c:strRef>
              <c:f>Summary!$J$14</c:f>
              <c:strCache>
                <c:ptCount val="1"/>
                <c:pt idx="0">
                  <c:v>Other</c:v>
                </c:pt>
              </c:strCache>
            </c:strRef>
          </c:tx>
          <c:spPr>
            <a:ln w="28575" cap="rnd">
              <a:solidFill>
                <a:schemeClr val="accent4">
                  <a:lumMod val="60000"/>
                </a:schemeClr>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Summary!$K$14:$V$14</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9-8676-4C2D-9547-BA1417315B62}"/>
            </c:ext>
          </c:extLst>
        </c:ser>
        <c:ser>
          <c:idx val="10"/>
          <c:order val="10"/>
          <c:tx>
            <c:strRef>
              <c:f>Summary!$J$15</c:f>
              <c:strCache>
                <c:ptCount val="1"/>
                <c:pt idx="0">
                  <c:v>TACA</c:v>
                </c:pt>
              </c:strCache>
            </c:strRef>
          </c:tx>
          <c:spPr>
            <a:ln w="28575" cap="rnd">
              <a:solidFill>
                <a:schemeClr val="accent5">
                  <a:lumMod val="60000"/>
                </a:schemeClr>
              </a:solidFill>
              <a:round/>
            </a:ln>
            <a:effectLst/>
          </c:spPr>
          <c:marker>
            <c:symbol val="none"/>
          </c:marker>
          <c:cat>
            <c:numRef>
              <c:f>Summary!$K$4:$V$4</c:f>
              <c:numCache>
                <c:formatCode>mmm\ yy</c:formatCode>
                <c:ptCount val="12"/>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numCache>
            </c:numRef>
          </c:cat>
          <c:val>
            <c:numRef>
              <c:f>Summary!$K$15:$V$15</c:f>
              <c:numCache>
                <c:formatCode>_("$"* #,##0.00_);_("$"* \(#,##0.00\);_("$"*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A-8676-4C2D-9547-BA1417315B62}"/>
            </c:ext>
          </c:extLst>
        </c:ser>
        <c:dLbls>
          <c:showLegendKey val="0"/>
          <c:showVal val="0"/>
          <c:showCatName val="0"/>
          <c:showSerName val="0"/>
          <c:showPercent val="0"/>
          <c:showBubbleSize val="0"/>
        </c:dLbls>
        <c:smooth val="0"/>
        <c:axId val="145449216"/>
        <c:axId val="2095905968"/>
      </c:lineChart>
      <c:dateAx>
        <c:axId val="145449216"/>
        <c:scaling>
          <c:orientation val="minMax"/>
        </c:scaling>
        <c:delete val="0"/>
        <c:axPos val="b"/>
        <c:numFmt formatCode="mmm\ 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5905968"/>
        <c:crosses val="autoZero"/>
        <c:auto val="1"/>
        <c:lblOffset val="100"/>
        <c:baseTimeUnit val="months"/>
      </c:dateAx>
      <c:valAx>
        <c:axId val="209590596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449216"/>
        <c:crosses val="autoZero"/>
        <c:crossBetween val="between"/>
      </c:valAx>
      <c:spPr>
        <a:noFill/>
        <a:ln>
          <a:noFill/>
        </a:ln>
        <a:effectLst/>
      </c:spPr>
    </c:plotArea>
    <c:legend>
      <c:legendPos val="b"/>
      <c:layout>
        <c:manualLayout>
          <c:xMode val="edge"/>
          <c:yMode val="edge"/>
          <c:x val="0.15751189523769421"/>
          <c:y val="0.82771473084756475"/>
          <c:w val="0.68497620952461158"/>
          <c:h val="0.172285269152435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100012</xdr:rowOff>
    </xdr:from>
    <xdr:to>
      <xdr:col>7</xdr:col>
      <xdr:colOff>0</xdr:colOff>
      <xdr:row>35</xdr:row>
      <xdr:rowOff>38100</xdr:rowOff>
    </xdr:to>
    <xdr:graphicFrame macro="">
      <xdr:nvGraphicFramePr>
        <xdr:cNvPr id="7" name="Chart 6">
          <a:extLst>
            <a:ext uri="{FF2B5EF4-FFF2-40B4-BE49-F238E27FC236}">
              <a16:creationId xmlns:a16="http://schemas.microsoft.com/office/drawing/2014/main" id="{B9760D78-64FD-46D1-8402-506C138452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2019821</xdr:colOff>
      <xdr:row>2</xdr:row>
      <xdr:rowOff>19051</xdr:rowOff>
    </xdr:to>
    <xdr:pic>
      <xdr:nvPicPr>
        <xdr:cNvPr id="6" name="Picture 5">
          <a:extLst>
            <a:ext uri="{FF2B5EF4-FFF2-40B4-BE49-F238E27FC236}">
              <a16:creationId xmlns:a16="http://schemas.microsoft.com/office/drawing/2014/main" id="{268C5F4B-25D4-483D-A772-64C21A1848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1"/>
          <a:ext cx="2019821"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ample.contact@fake.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33DCF-75B1-4820-A17A-4EA41B0E2096}">
  <sheetPr codeName="Sheet1">
    <tabColor theme="7"/>
  </sheetPr>
  <dimension ref="B2:R33"/>
  <sheetViews>
    <sheetView workbookViewId="0">
      <selection activeCell="F19" sqref="F19"/>
    </sheetView>
  </sheetViews>
  <sheetFormatPr defaultRowHeight="15" x14ac:dyDescent="0.25"/>
  <cols>
    <col min="2" max="2" width="10.42578125" bestFit="1" customWidth="1"/>
    <col min="3" max="3" width="11.7109375" bestFit="1" customWidth="1"/>
    <col min="4" max="4" width="59.140625" bestFit="1" customWidth="1"/>
    <col min="5" max="5" width="10.28515625" bestFit="1" customWidth="1"/>
    <col min="6" max="17" width="12.85546875" customWidth="1"/>
  </cols>
  <sheetData>
    <row r="2" spans="2:18" x14ac:dyDescent="0.25">
      <c r="B2" s="3" t="s">
        <v>76</v>
      </c>
      <c r="C2" s="3" t="s">
        <v>87</v>
      </c>
      <c r="D2" s="3" t="s">
        <v>77</v>
      </c>
      <c r="F2" s="6" t="s">
        <v>0</v>
      </c>
      <c r="G2" s="7" t="s">
        <v>1</v>
      </c>
      <c r="H2" s="7" t="s">
        <v>2</v>
      </c>
      <c r="I2" s="7" t="s">
        <v>3</v>
      </c>
      <c r="J2" s="7" t="s">
        <v>4</v>
      </c>
      <c r="K2" s="7" t="s">
        <v>5</v>
      </c>
      <c r="L2" s="7" t="s">
        <v>6</v>
      </c>
      <c r="M2" s="7" t="s">
        <v>7</v>
      </c>
      <c r="N2" s="7" t="s">
        <v>8</v>
      </c>
      <c r="O2" s="7" t="s">
        <v>9</v>
      </c>
      <c r="P2" s="7" t="s">
        <v>10</v>
      </c>
      <c r="Q2" s="8" t="s">
        <v>11</v>
      </c>
    </row>
    <row r="3" spans="2:18" x14ac:dyDescent="0.25">
      <c r="B3" s="2">
        <v>1</v>
      </c>
      <c r="C3" s="4" t="s">
        <v>41</v>
      </c>
      <c r="D3" s="5" t="s">
        <v>78</v>
      </c>
      <c r="F3" s="118">
        <f t="array" ref="F3:Q3">DATEVALUE(F2:Q2&amp;" "&amp;(FFY-(MATCH(F2:Q2,F2:Q2,0)&lt;4)))</f>
        <v>43739</v>
      </c>
      <c r="G3" s="119">
        <v>43770</v>
      </c>
      <c r="H3" s="119">
        <v>43800</v>
      </c>
      <c r="I3" s="119">
        <v>43831</v>
      </c>
      <c r="J3" s="119">
        <v>43862</v>
      </c>
      <c r="K3" s="119">
        <v>43891</v>
      </c>
      <c r="L3" s="119">
        <v>43922</v>
      </c>
      <c r="M3" s="119">
        <v>43952</v>
      </c>
      <c r="N3" s="119">
        <v>43983</v>
      </c>
      <c r="O3" s="119">
        <v>44013</v>
      </c>
      <c r="P3" s="119">
        <v>44044</v>
      </c>
      <c r="Q3" s="120">
        <v>44075</v>
      </c>
      <c r="R3" s="113" t="s">
        <v>122</v>
      </c>
    </row>
    <row r="4" spans="2:18" x14ac:dyDescent="0.25">
      <c r="B4" s="2">
        <v>2</v>
      </c>
      <c r="C4" s="4" t="s">
        <v>42</v>
      </c>
      <c r="D4" s="5" t="s">
        <v>79</v>
      </c>
      <c r="F4" s="117"/>
      <c r="G4" s="117"/>
      <c r="H4" s="117"/>
      <c r="I4" s="117"/>
      <c r="J4" s="117"/>
      <c r="K4" s="117"/>
      <c r="L4" s="117"/>
      <c r="M4" s="117"/>
      <c r="N4" s="117"/>
      <c r="O4" s="117"/>
      <c r="P4" s="117"/>
      <c r="Q4" s="117"/>
    </row>
    <row r="5" spans="2:18" x14ac:dyDescent="0.25">
      <c r="B5" s="2">
        <v>3</v>
      </c>
      <c r="C5" s="4" t="s">
        <v>43</v>
      </c>
      <c r="D5" s="5" t="s">
        <v>80</v>
      </c>
      <c r="G5" s="1"/>
    </row>
    <row r="6" spans="2:18" x14ac:dyDescent="0.25">
      <c r="B6" s="2">
        <v>4</v>
      </c>
      <c r="C6" s="4" t="s">
        <v>44</v>
      </c>
      <c r="D6" s="5" t="s">
        <v>44</v>
      </c>
      <c r="F6" s="187">
        <f>(COUNT(EMP:Other!C46:C60)&gt;0)*1</f>
        <v>0</v>
      </c>
      <c r="G6" s="187">
        <f>(COUNT(EMP:Other!D46:D60)&gt;0)*1</f>
        <v>0</v>
      </c>
      <c r="H6" s="187">
        <f>(COUNT(EMP:Other!E46:E60)&gt;0)*1</f>
        <v>0</v>
      </c>
      <c r="I6" s="187">
        <f>(COUNT(EMP:Other!F46:F60)&gt;0)*1</f>
        <v>0</v>
      </c>
      <c r="J6" s="187">
        <f>(COUNT(EMP:Other!G46:G60)&gt;0)*1</f>
        <v>0</v>
      </c>
      <c r="K6" s="187">
        <f>(COUNT(EMP:Other!H46:H60)&gt;0)*1</f>
        <v>0</v>
      </c>
      <c r="L6" s="187">
        <f>(COUNT(EMP:Other!I46:I60)&gt;0)*1</f>
        <v>0</v>
      </c>
      <c r="M6" s="187">
        <f>(COUNT(EMP:Other!J46:J60)&gt;0)*1</f>
        <v>0</v>
      </c>
      <c r="N6" s="187">
        <f>(COUNT(EMP:Other!K46:K60)&gt;0)*1</f>
        <v>0</v>
      </c>
      <c r="O6" s="187">
        <f>(COUNT(EMP:Other!L46:L60)&gt;0)*1</f>
        <v>0</v>
      </c>
      <c r="P6" s="187">
        <f>(COUNT(EMP:Other!M46:M60)&gt;0)*1</f>
        <v>0</v>
      </c>
      <c r="Q6" s="187">
        <f>(COUNT(EMP:Other!N46:N60)&gt;0)*1</f>
        <v>0</v>
      </c>
      <c r="R6" s="114" t="s">
        <v>124</v>
      </c>
    </row>
    <row r="7" spans="2:18" x14ac:dyDescent="0.25">
      <c r="B7" s="2">
        <v>5</v>
      </c>
      <c r="C7" s="4" t="s">
        <v>45</v>
      </c>
      <c r="D7" s="5" t="s">
        <v>81</v>
      </c>
    </row>
    <row r="8" spans="2:18" x14ac:dyDescent="0.25">
      <c r="B8" s="2">
        <v>6</v>
      </c>
      <c r="C8" s="4" t="s">
        <v>46</v>
      </c>
      <c r="D8" s="5" t="s">
        <v>82</v>
      </c>
    </row>
    <row r="9" spans="2:18" x14ac:dyDescent="0.25">
      <c r="B9" s="2">
        <v>7</v>
      </c>
      <c r="C9" s="4" t="s">
        <v>47</v>
      </c>
      <c r="D9" s="5" t="s">
        <v>83</v>
      </c>
    </row>
    <row r="10" spans="2:18" x14ac:dyDescent="0.25">
      <c r="B10" s="2">
        <v>8</v>
      </c>
      <c r="C10" s="4" t="s">
        <v>48</v>
      </c>
      <c r="D10" s="5" t="s">
        <v>84</v>
      </c>
    </row>
    <row r="11" spans="2:18" x14ac:dyDescent="0.25">
      <c r="B11" s="2">
        <v>9</v>
      </c>
      <c r="C11" s="4" t="s">
        <v>49</v>
      </c>
      <c r="D11" s="5" t="s">
        <v>85</v>
      </c>
    </row>
    <row r="12" spans="2:18" x14ac:dyDescent="0.25">
      <c r="B12" s="2">
        <v>10</v>
      </c>
      <c r="C12" s="4" t="s">
        <v>50</v>
      </c>
      <c r="D12" s="5" t="s">
        <v>86</v>
      </c>
      <c r="G12" t="s">
        <v>127</v>
      </c>
      <c r="H12" t="s">
        <v>128</v>
      </c>
      <c r="I12">
        <f>IndexMonth</f>
        <v>1</v>
      </c>
    </row>
    <row r="13" spans="2:18" x14ac:dyDescent="0.25">
      <c r="H13" t="s">
        <v>129</v>
      </c>
      <c r="I13">
        <f>InvoiceMonth</f>
        <v>43739</v>
      </c>
    </row>
    <row r="14" spans="2:18" x14ac:dyDescent="0.25">
      <c r="B14" t="s">
        <v>88</v>
      </c>
    </row>
    <row r="18" spans="4:4" x14ac:dyDescent="0.25">
      <c r="D18" s="3" t="s">
        <v>89</v>
      </c>
    </row>
    <row r="19" spans="4:4" x14ac:dyDescent="0.25">
      <c r="D19" s="9" t="s">
        <v>26</v>
      </c>
    </row>
    <row r="20" spans="4:4" x14ac:dyDescent="0.25">
      <c r="D20" s="9" t="s">
        <v>27</v>
      </c>
    </row>
    <row r="21" spans="4:4" x14ac:dyDescent="0.25">
      <c r="D21" s="9" t="s">
        <v>28</v>
      </c>
    </row>
    <row r="22" spans="4:4" x14ac:dyDescent="0.25">
      <c r="D22" s="9" t="s">
        <v>29</v>
      </c>
    </row>
    <row r="23" spans="4:4" x14ac:dyDescent="0.25">
      <c r="D23" s="9" t="s">
        <v>30</v>
      </c>
    </row>
    <row r="24" spans="4:4" x14ac:dyDescent="0.25">
      <c r="D24" s="9" t="s">
        <v>31</v>
      </c>
    </row>
    <row r="25" spans="4:4" x14ac:dyDescent="0.25">
      <c r="D25" s="9" t="s">
        <v>32</v>
      </c>
    </row>
    <row r="26" spans="4:4" x14ac:dyDescent="0.25">
      <c r="D26" s="9" t="s">
        <v>33</v>
      </c>
    </row>
    <row r="27" spans="4:4" x14ac:dyDescent="0.25">
      <c r="D27" s="9" t="s">
        <v>34</v>
      </c>
    </row>
    <row r="28" spans="4:4" x14ac:dyDescent="0.25">
      <c r="D28" s="9" t="s">
        <v>35</v>
      </c>
    </row>
    <row r="29" spans="4:4" x14ac:dyDescent="0.25">
      <c r="D29" s="9" t="s">
        <v>36</v>
      </c>
    </row>
    <row r="30" spans="4:4" x14ac:dyDescent="0.25">
      <c r="D30" s="9" t="s">
        <v>37</v>
      </c>
    </row>
    <row r="31" spans="4:4" x14ac:dyDescent="0.25">
      <c r="D31" s="9" t="s">
        <v>38</v>
      </c>
    </row>
    <row r="32" spans="4:4" x14ac:dyDescent="0.25">
      <c r="D32" s="9" t="s">
        <v>39</v>
      </c>
    </row>
    <row r="33" spans="4:4" x14ac:dyDescent="0.25">
      <c r="D33" s="9" t="s">
        <v>40</v>
      </c>
    </row>
  </sheetData>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F184E-6B62-4730-ADA5-336D6553418E}">
  <sheetPr codeName="Sheet2">
    <tabColor rgb="FFFF0000"/>
  </sheetPr>
  <dimension ref="A1:N101"/>
  <sheetViews>
    <sheetView showGridLines="0" workbookViewId="0">
      <selection activeCell="C4" sqref="C4"/>
    </sheetView>
  </sheetViews>
  <sheetFormatPr defaultColWidth="0" defaultRowHeight="15" zeroHeight="1" x14ac:dyDescent="0.25"/>
  <cols>
    <col min="1" max="1" width="2.85546875" style="12" customWidth="1"/>
    <col min="2" max="2" width="34.140625" style="52" customWidth="1"/>
    <col min="3" max="13" width="15.28515625" style="12" customWidth="1"/>
    <col min="14" max="14" width="2.85546875" style="12" customWidth="1"/>
    <col min="15" max="16384" width="9.140625" style="12" hidden="1"/>
  </cols>
  <sheetData>
    <row r="1" spans="1:14" ht="15" customHeight="1" thickBot="1" x14ac:dyDescent="0.3">
      <c r="A1" s="10"/>
      <c r="B1" s="11"/>
      <c r="C1" s="10"/>
      <c r="D1" s="10"/>
      <c r="E1" s="10"/>
      <c r="F1" s="10"/>
      <c r="G1" s="10"/>
      <c r="H1" s="10"/>
      <c r="I1" s="10"/>
      <c r="J1" s="10"/>
      <c r="K1" s="10"/>
      <c r="L1" s="10"/>
      <c r="M1" s="10"/>
      <c r="N1" s="10"/>
    </row>
    <row r="2" spans="1:14" ht="18.75" x14ac:dyDescent="0.3">
      <c r="A2" s="10"/>
      <c r="B2" s="13" t="s">
        <v>120</v>
      </c>
      <c r="C2" s="203"/>
      <c r="D2" s="203"/>
      <c r="E2" s="203"/>
      <c r="F2" s="203"/>
      <c r="G2" s="203"/>
      <c r="H2" s="203"/>
      <c r="I2" s="203"/>
      <c r="J2" s="203"/>
      <c r="K2" s="203"/>
      <c r="L2" s="14"/>
      <c r="M2" s="15"/>
      <c r="N2" s="10"/>
    </row>
    <row r="3" spans="1:14" ht="7.5" customHeight="1" x14ac:dyDescent="0.3">
      <c r="A3" s="10"/>
      <c r="B3" s="16"/>
      <c r="C3" s="17"/>
      <c r="D3" s="17"/>
      <c r="E3" s="17"/>
      <c r="F3" s="17"/>
      <c r="G3" s="17"/>
      <c r="H3" s="17"/>
      <c r="I3" s="17"/>
      <c r="J3" s="17"/>
      <c r="K3" s="17"/>
      <c r="L3" s="17"/>
      <c r="M3" s="18"/>
      <c r="N3" s="10"/>
    </row>
    <row r="4" spans="1:14" x14ac:dyDescent="0.25">
      <c r="A4" s="10"/>
      <c r="B4" s="19" t="s">
        <v>12</v>
      </c>
      <c r="C4" s="53">
        <v>2020</v>
      </c>
      <c r="D4" s="20" t="str">
        <f>IFERROR(IF(FFY&gt;0,"invoice covers Oct 1, "&amp;(FFY-1)&amp;" thru Sept 30, "&amp;FFY,""),"enter a valid FFY")</f>
        <v>invoice covers Oct 1, 2019 thru Sept 30, 2020</v>
      </c>
      <c r="E4" s="17"/>
      <c r="F4" s="17"/>
      <c r="G4" s="17"/>
      <c r="H4" s="17"/>
      <c r="I4" s="17"/>
      <c r="K4" t="s">
        <v>165</v>
      </c>
      <c r="L4" s="236" t="s">
        <v>159</v>
      </c>
      <c r="M4" s="18"/>
      <c r="N4" s="10"/>
    </row>
    <row r="5" spans="1:14" ht="7.5" customHeight="1" thickBot="1" x14ac:dyDescent="0.3">
      <c r="A5" s="10"/>
      <c r="B5" s="21"/>
      <c r="C5" s="22"/>
      <c r="D5" s="23"/>
      <c r="E5" s="23"/>
      <c r="F5" s="23"/>
      <c r="G5" s="23"/>
      <c r="H5" s="23"/>
      <c r="I5" s="23"/>
      <c r="J5" s="23"/>
      <c r="K5" s="23"/>
      <c r="L5" s="23"/>
      <c r="M5" s="24"/>
      <c r="N5" s="10"/>
    </row>
    <row r="6" spans="1:14" ht="15.75" thickBot="1" x14ac:dyDescent="0.3">
      <c r="A6" s="10"/>
      <c r="B6" s="11"/>
      <c r="C6" s="10"/>
      <c r="D6" s="10"/>
      <c r="E6" s="10"/>
      <c r="F6" s="10"/>
      <c r="G6" s="10"/>
      <c r="H6" s="10"/>
      <c r="I6" s="10"/>
      <c r="J6" s="10"/>
      <c r="K6" s="10"/>
      <c r="L6" s="10"/>
      <c r="M6" s="10"/>
      <c r="N6" s="10"/>
    </row>
    <row r="7" spans="1:14" ht="18.75" x14ac:dyDescent="0.3">
      <c r="A7" s="10"/>
      <c r="B7" s="13" t="s">
        <v>90</v>
      </c>
      <c r="C7" s="14"/>
      <c r="D7" s="14"/>
      <c r="E7" s="14"/>
      <c r="F7" s="14"/>
      <c r="G7" s="14"/>
      <c r="H7" s="14"/>
      <c r="I7" s="14"/>
      <c r="J7" s="14"/>
      <c r="K7" s="14"/>
      <c r="L7" s="14"/>
      <c r="M7" s="15"/>
      <c r="N7" s="10"/>
    </row>
    <row r="8" spans="1:14" ht="7.5" customHeight="1" x14ac:dyDescent="0.3">
      <c r="A8" s="10"/>
      <c r="B8" s="16"/>
      <c r="C8" s="17"/>
      <c r="D8" s="17"/>
      <c r="E8" s="17"/>
      <c r="F8" s="17"/>
      <c r="G8" s="17"/>
      <c r="H8" s="17"/>
      <c r="I8" s="17"/>
      <c r="J8" s="17"/>
      <c r="K8" s="17"/>
      <c r="L8" s="17"/>
      <c r="M8" s="18"/>
      <c r="N8" s="10"/>
    </row>
    <row r="9" spans="1:14" x14ac:dyDescent="0.25">
      <c r="A9" s="10"/>
      <c r="B9" s="19" t="s">
        <v>13</v>
      </c>
      <c r="C9" s="207" t="s">
        <v>95</v>
      </c>
      <c r="D9" s="207"/>
      <c r="E9" s="17"/>
      <c r="F9" s="17"/>
      <c r="G9" s="17"/>
      <c r="H9" s="17"/>
      <c r="I9" s="17"/>
      <c r="J9" s="17"/>
      <c r="K9" s="17"/>
      <c r="L9" s="17"/>
      <c r="M9" s="18"/>
      <c r="N9" s="10"/>
    </row>
    <row r="10" spans="1:14" x14ac:dyDescent="0.25">
      <c r="A10" s="10"/>
      <c r="B10" s="25"/>
      <c r="C10" s="17"/>
      <c r="D10" s="17"/>
      <c r="E10" s="17"/>
      <c r="F10" s="17"/>
      <c r="G10" s="17"/>
      <c r="H10" s="17"/>
      <c r="I10" s="17"/>
      <c r="J10" s="17"/>
      <c r="K10" s="17"/>
      <c r="L10" s="17"/>
      <c r="M10" s="18"/>
      <c r="N10" s="10"/>
    </row>
    <row r="11" spans="1:14" x14ac:dyDescent="0.25">
      <c r="A11" s="10"/>
      <c r="B11" s="19" t="s">
        <v>15</v>
      </c>
      <c r="C11" s="206" t="s">
        <v>18</v>
      </c>
      <c r="D11" s="206"/>
      <c r="E11" s="206"/>
      <c r="F11" s="206"/>
      <c r="G11" s="17"/>
      <c r="H11" s="17"/>
      <c r="I11" s="17"/>
      <c r="J11" s="17"/>
      <c r="K11" s="17"/>
      <c r="L11" s="17"/>
      <c r="M11" s="18"/>
      <c r="N11" s="10"/>
    </row>
    <row r="12" spans="1:14" x14ac:dyDescent="0.25">
      <c r="A12" s="10"/>
      <c r="B12" s="19" t="s">
        <v>16</v>
      </c>
      <c r="C12" s="206" t="s">
        <v>19</v>
      </c>
      <c r="D12" s="206"/>
      <c r="E12" s="206"/>
      <c r="F12" s="206"/>
      <c r="G12" s="17"/>
      <c r="H12" s="17"/>
      <c r="I12" s="17"/>
      <c r="J12" s="17"/>
      <c r="K12" s="17"/>
      <c r="L12" s="17"/>
      <c r="M12" s="18"/>
      <c r="N12" s="10"/>
    </row>
    <row r="13" spans="1:14" x14ac:dyDescent="0.25">
      <c r="A13" s="10"/>
      <c r="B13" s="19" t="s">
        <v>17</v>
      </c>
      <c r="C13" s="206" t="s">
        <v>20</v>
      </c>
      <c r="D13" s="206"/>
      <c r="E13" s="206"/>
      <c r="F13" s="206"/>
      <c r="G13" s="17"/>
      <c r="H13" s="17"/>
      <c r="I13" s="17"/>
      <c r="J13" s="17"/>
      <c r="K13" s="17"/>
      <c r="L13" s="17"/>
      <c r="M13" s="18"/>
      <c r="N13" s="10"/>
    </row>
    <row r="14" spans="1:14" x14ac:dyDescent="0.25">
      <c r="A14" s="10"/>
      <c r="B14" s="25"/>
      <c r="C14" s="17"/>
      <c r="D14" s="17"/>
      <c r="E14" s="17"/>
      <c r="F14" s="17"/>
      <c r="G14" s="17"/>
      <c r="H14" s="17"/>
      <c r="I14" s="17"/>
      <c r="J14" s="17"/>
      <c r="K14" s="17"/>
      <c r="L14" s="17"/>
      <c r="M14" s="18"/>
      <c r="N14" s="10"/>
    </row>
    <row r="15" spans="1:14" x14ac:dyDescent="0.25">
      <c r="A15" s="10"/>
      <c r="B15" s="19" t="s">
        <v>15</v>
      </c>
      <c r="C15" s="206" t="s">
        <v>160</v>
      </c>
      <c r="D15" s="206"/>
      <c r="E15" s="206"/>
      <c r="F15" s="206"/>
      <c r="G15" s="17"/>
      <c r="H15" s="17"/>
      <c r="I15" s="17"/>
      <c r="J15" s="17"/>
      <c r="K15" s="17"/>
      <c r="L15" s="17"/>
      <c r="M15" s="18"/>
      <c r="N15" s="10"/>
    </row>
    <row r="16" spans="1:14" x14ac:dyDescent="0.25">
      <c r="A16" s="10"/>
      <c r="B16" s="19" t="s">
        <v>21</v>
      </c>
      <c r="C16" s="206" t="s">
        <v>161</v>
      </c>
      <c r="D16" s="206"/>
      <c r="E16" s="206"/>
      <c r="F16" s="206"/>
      <c r="G16" s="17"/>
      <c r="H16" s="17"/>
      <c r="I16" s="17"/>
      <c r="J16" s="17"/>
      <c r="K16" s="17"/>
      <c r="L16" s="17"/>
      <c r="M16" s="18"/>
      <c r="N16" s="10"/>
    </row>
    <row r="17" spans="1:14" x14ac:dyDescent="0.25">
      <c r="A17" s="10"/>
      <c r="B17" s="19" t="s">
        <v>22</v>
      </c>
      <c r="C17" s="208" t="s">
        <v>162</v>
      </c>
      <c r="D17" s="208"/>
      <c r="E17" s="208"/>
      <c r="F17" s="208"/>
      <c r="G17" s="17"/>
      <c r="H17" s="17"/>
      <c r="I17" s="17"/>
      <c r="J17" s="17"/>
      <c r="K17" s="17"/>
      <c r="L17" s="17"/>
      <c r="M17" s="18"/>
      <c r="N17" s="10"/>
    </row>
    <row r="18" spans="1:14" ht="7.5" customHeight="1" thickBot="1" x14ac:dyDescent="0.3">
      <c r="A18" s="10"/>
      <c r="B18" s="21"/>
      <c r="C18" s="26"/>
      <c r="D18" s="26"/>
      <c r="E18" s="26"/>
      <c r="F18" s="26"/>
      <c r="G18" s="23"/>
      <c r="H18" s="23"/>
      <c r="I18" s="23"/>
      <c r="J18" s="23"/>
      <c r="K18" s="23"/>
      <c r="L18" s="23"/>
      <c r="M18" s="24"/>
      <c r="N18" s="10"/>
    </row>
    <row r="19" spans="1:14" ht="15.75" thickBot="1" x14ac:dyDescent="0.3">
      <c r="A19" s="10"/>
      <c r="B19" s="11"/>
      <c r="C19" s="10"/>
      <c r="D19" s="10"/>
      <c r="E19" s="10"/>
      <c r="F19" s="10"/>
      <c r="G19" s="10"/>
      <c r="H19" s="10"/>
      <c r="I19" s="10"/>
      <c r="J19" s="10"/>
      <c r="K19" s="10"/>
      <c r="L19" s="10"/>
      <c r="M19" s="10"/>
      <c r="N19" s="10"/>
    </row>
    <row r="20" spans="1:14" ht="18.75" x14ac:dyDescent="0.3">
      <c r="A20" s="10"/>
      <c r="B20" s="13" t="s">
        <v>91</v>
      </c>
      <c r="C20" s="14"/>
      <c r="D20" s="14"/>
      <c r="E20" s="14"/>
      <c r="F20" s="14"/>
      <c r="G20" s="14"/>
      <c r="H20" s="14"/>
      <c r="I20" s="14"/>
      <c r="J20" s="14"/>
      <c r="K20" s="14"/>
      <c r="L20" s="14"/>
      <c r="M20" s="15"/>
      <c r="N20" s="10"/>
    </row>
    <row r="21" spans="1:14" ht="7.5" customHeight="1" x14ac:dyDescent="0.3">
      <c r="A21" s="10"/>
      <c r="B21" s="16"/>
      <c r="C21" s="17"/>
      <c r="D21" s="17"/>
      <c r="E21" s="17"/>
      <c r="F21" s="17"/>
      <c r="G21" s="17"/>
      <c r="H21" s="17"/>
      <c r="I21" s="17"/>
      <c r="J21" s="17"/>
      <c r="K21" s="17"/>
      <c r="L21" s="17"/>
      <c r="M21" s="18"/>
      <c r="N21" s="10"/>
    </row>
    <row r="22" spans="1:14" x14ac:dyDescent="0.25">
      <c r="A22" s="10"/>
      <c r="B22" s="19" t="s">
        <v>23</v>
      </c>
      <c r="C22" s="206" t="s">
        <v>25</v>
      </c>
      <c r="D22" s="206"/>
      <c r="E22" s="206"/>
      <c r="F22" s="206"/>
      <c r="G22" s="17"/>
      <c r="H22" s="17"/>
      <c r="I22" s="17"/>
      <c r="J22" s="17"/>
      <c r="K22" s="17"/>
      <c r="L22" s="17"/>
      <c r="M22" s="18"/>
      <c r="N22" s="10"/>
    </row>
    <row r="23" spans="1:14" x14ac:dyDescent="0.25">
      <c r="A23" s="10"/>
      <c r="B23" s="19" t="s">
        <v>24</v>
      </c>
      <c r="C23" s="206" t="s">
        <v>61</v>
      </c>
      <c r="D23" s="206"/>
      <c r="E23" s="206"/>
      <c r="F23" s="206"/>
      <c r="G23" s="17"/>
      <c r="H23" s="17"/>
      <c r="I23" s="17"/>
      <c r="J23" s="17"/>
      <c r="K23" s="17"/>
      <c r="L23" s="17"/>
      <c r="M23" s="18"/>
      <c r="N23" s="10"/>
    </row>
    <row r="24" spans="1:14" x14ac:dyDescent="0.25">
      <c r="A24" s="10"/>
      <c r="B24" s="25"/>
      <c r="C24" s="17"/>
      <c r="D24" s="17"/>
      <c r="E24" s="17"/>
      <c r="F24" s="17"/>
      <c r="G24" s="17"/>
      <c r="H24" s="17"/>
      <c r="I24" s="17"/>
      <c r="J24" s="17"/>
      <c r="K24" s="17"/>
      <c r="L24" s="17"/>
      <c r="M24" s="18"/>
      <c r="N24" s="10"/>
    </row>
    <row r="25" spans="1:14" x14ac:dyDescent="0.25">
      <c r="A25" s="10"/>
      <c r="B25" s="19" t="s">
        <v>93</v>
      </c>
      <c r="C25" s="207" t="s">
        <v>164</v>
      </c>
      <c r="D25" s="207"/>
      <c r="E25" s="17"/>
      <c r="F25" s="17"/>
      <c r="G25" s="17"/>
      <c r="H25" s="17"/>
      <c r="I25" s="17"/>
      <c r="J25" s="17"/>
      <c r="K25" s="17"/>
      <c r="L25" s="17"/>
      <c r="M25" s="18"/>
      <c r="N25" s="10"/>
    </row>
    <row r="26" spans="1:14" x14ac:dyDescent="0.25">
      <c r="A26" s="10"/>
      <c r="B26" s="19" t="s">
        <v>94</v>
      </c>
      <c r="C26" s="207" t="s">
        <v>163</v>
      </c>
      <c r="D26" s="207"/>
      <c r="E26" s="17"/>
      <c r="F26" s="17"/>
      <c r="G26" s="17"/>
      <c r="H26" s="17"/>
      <c r="I26" s="17"/>
      <c r="J26" s="17"/>
      <c r="K26" s="17"/>
      <c r="L26" s="17"/>
      <c r="M26" s="18"/>
      <c r="N26" s="10"/>
    </row>
    <row r="27" spans="1:14" ht="7.5" customHeight="1" thickBot="1" x14ac:dyDescent="0.3">
      <c r="A27" s="10"/>
      <c r="B27" s="21"/>
      <c r="C27" s="27"/>
      <c r="D27" s="27"/>
      <c r="E27" s="23"/>
      <c r="F27" s="23"/>
      <c r="G27" s="23"/>
      <c r="H27" s="23"/>
      <c r="I27" s="23"/>
      <c r="J27" s="23"/>
      <c r="K27" s="23"/>
      <c r="L27" s="23"/>
      <c r="M27" s="24"/>
      <c r="N27" s="10"/>
    </row>
    <row r="28" spans="1:14" ht="15.75" thickBot="1" x14ac:dyDescent="0.3">
      <c r="A28" s="10"/>
      <c r="B28" s="11"/>
      <c r="C28" s="10"/>
      <c r="D28" s="10"/>
      <c r="E28" s="10"/>
      <c r="F28" s="10"/>
      <c r="G28" s="10"/>
      <c r="H28" s="10"/>
      <c r="I28" s="10"/>
      <c r="J28" s="10"/>
      <c r="K28" s="10"/>
      <c r="L28" s="10"/>
      <c r="M28" s="10"/>
      <c r="N28" s="10"/>
    </row>
    <row r="29" spans="1:14" ht="18.75" x14ac:dyDescent="0.3">
      <c r="A29" s="10"/>
      <c r="B29" s="13" t="str">
        <f>"Allocated Funds for Current Contract "&amp;CurrentContractNumber</f>
        <v>Allocated Funds for Current Contract FY20-12345</v>
      </c>
      <c r="C29" s="14"/>
      <c r="D29" s="14"/>
      <c r="E29" s="14"/>
      <c r="F29" s="14"/>
      <c r="G29" s="14"/>
      <c r="H29" s="14"/>
      <c r="I29" s="14"/>
      <c r="J29" s="14"/>
      <c r="K29" s="14"/>
      <c r="L29" s="14"/>
      <c r="M29" s="15"/>
      <c r="N29" s="10"/>
    </row>
    <row r="30" spans="1:14" s="32" customFormat="1" ht="7.5" customHeight="1" x14ac:dyDescent="0.25">
      <c r="A30" s="28"/>
      <c r="B30" s="29"/>
      <c r="C30" s="30"/>
      <c r="D30" s="30"/>
      <c r="E30" s="30"/>
      <c r="F30" s="30"/>
      <c r="G30" s="30"/>
      <c r="H30" s="30"/>
      <c r="I30" s="30"/>
      <c r="J30" s="30"/>
      <c r="K30" s="30"/>
      <c r="L30" s="30"/>
      <c r="M30" s="31"/>
      <c r="N30" s="28"/>
    </row>
    <row r="31" spans="1:14" s="32" customFormat="1" x14ac:dyDescent="0.25">
      <c r="A31" s="28"/>
      <c r="B31" s="204" t="s">
        <v>92</v>
      </c>
      <c r="C31" s="205"/>
      <c r="D31" s="205"/>
      <c r="E31" s="205"/>
      <c r="F31" s="205"/>
      <c r="G31" s="205"/>
      <c r="H31" s="205"/>
      <c r="I31" s="205"/>
      <c r="J31" s="205"/>
      <c r="K31" s="115" t="s">
        <v>121</v>
      </c>
      <c r="L31" s="116"/>
      <c r="M31" s="31"/>
      <c r="N31" s="28"/>
    </row>
    <row r="32" spans="1:14" ht="7.5" customHeight="1" x14ac:dyDescent="0.25">
      <c r="A32" s="10"/>
      <c r="B32" s="25"/>
      <c r="C32" s="17"/>
      <c r="D32" s="17"/>
      <c r="E32" s="17"/>
      <c r="F32" s="17"/>
      <c r="G32" s="17"/>
      <c r="H32" s="17"/>
      <c r="I32" s="17"/>
      <c r="J32" s="17"/>
      <c r="K32" s="17"/>
      <c r="L32" s="17"/>
      <c r="M32" s="18"/>
      <c r="N32" s="10"/>
    </row>
    <row r="33" spans="1:14" x14ac:dyDescent="0.25">
      <c r="A33" s="10"/>
      <c r="B33" s="33" t="s">
        <v>89</v>
      </c>
      <c r="C33" s="34" t="str">
        <f t="array" ref="C33:L33">TRANSPOSE(INDEX(Domains,,2))</f>
        <v>EMP</v>
      </c>
      <c r="D33" s="34" t="str">
        <v>ED and CD</v>
      </c>
      <c r="E33" s="34" t="str">
        <v>II and AB</v>
      </c>
      <c r="F33" s="34" t="str">
        <v>Housing</v>
      </c>
      <c r="G33" s="34" t="str">
        <v>H and S BD</v>
      </c>
      <c r="H33" s="34" t="str">
        <v>CE and CI</v>
      </c>
      <c r="I33" s="34" t="str">
        <v>SSMD</v>
      </c>
      <c r="J33" s="34" t="str">
        <v>Linkages</v>
      </c>
      <c r="K33" s="34" t="str">
        <v>ACB</v>
      </c>
      <c r="L33" s="34" t="str">
        <v>Other</v>
      </c>
      <c r="M33" s="35" t="s">
        <v>51</v>
      </c>
      <c r="N33" s="10"/>
    </row>
    <row r="34" spans="1:14" x14ac:dyDescent="0.25">
      <c r="A34" s="10"/>
      <c r="B34" s="36" t="str">
        <f t="array" ref="B34:B48">Categories</f>
        <v>Salaries</v>
      </c>
      <c r="C34" s="54"/>
      <c r="D34" s="54"/>
      <c r="E34" s="54"/>
      <c r="F34" s="54"/>
      <c r="G34" s="54"/>
      <c r="H34" s="54"/>
      <c r="I34" s="54"/>
      <c r="J34" s="54"/>
      <c r="K34" s="54"/>
      <c r="L34" s="54"/>
      <c r="M34" s="37">
        <f>SUM(C34:L34)</f>
        <v>0</v>
      </c>
      <c r="N34" s="10"/>
    </row>
    <row r="35" spans="1:14" x14ac:dyDescent="0.25">
      <c r="A35" s="10"/>
      <c r="B35" s="38" t="str">
        <v>Benefits &amp; Taxes</v>
      </c>
      <c r="C35" s="55">
        <v>8000</v>
      </c>
      <c r="D35" s="55">
        <v>2000</v>
      </c>
      <c r="E35" s="55">
        <v>12000</v>
      </c>
      <c r="F35" s="55">
        <v>6000</v>
      </c>
      <c r="G35" s="55">
        <v>2000</v>
      </c>
      <c r="H35" s="55"/>
      <c r="I35" s="55">
        <v>6000</v>
      </c>
      <c r="J35" s="55">
        <v>4000</v>
      </c>
      <c r="K35" s="55">
        <v>14000</v>
      </c>
      <c r="L35" s="55">
        <v>12000</v>
      </c>
      <c r="M35" s="39">
        <f t="shared" ref="M35:M48" si="0">SUM(C35:L35)</f>
        <v>66000</v>
      </c>
      <c r="N35" s="10"/>
    </row>
    <row r="36" spans="1:14" x14ac:dyDescent="0.25">
      <c r="A36" s="10"/>
      <c r="B36" s="38" t="str">
        <v>Professional Fee / Grant &amp; Award</v>
      </c>
      <c r="C36" s="55">
        <v>9000</v>
      </c>
      <c r="D36" s="55">
        <v>6000</v>
      </c>
      <c r="E36" s="55">
        <v>12000</v>
      </c>
      <c r="F36" s="55">
        <v>3000</v>
      </c>
      <c r="G36" s="55">
        <v>5000</v>
      </c>
      <c r="H36" s="55"/>
      <c r="I36" s="55">
        <v>9000</v>
      </c>
      <c r="J36" s="55">
        <v>2000</v>
      </c>
      <c r="K36" s="55">
        <v>8000</v>
      </c>
      <c r="L36" s="55">
        <v>6000</v>
      </c>
      <c r="M36" s="39">
        <f t="shared" si="0"/>
        <v>60000</v>
      </c>
      <c r="N36" s="10"/>
    </row>
    <row r="37" spans="1:14" x14ac:dyDescent="0.25">
      <c r="A37" s="10"/>
      <c r="B37" s="38" t="str">
        <v>Supplies</v>
      </c>
      <c r="C37" s="55">
        <v>10000</v>
      </c>
      <c r="D37" s="55">
        <v>9000</v>
      </c>
      <c r="E37" s="55">
        <v>4000</v>
      </c>
      <c r="F37" s="55">
        <v>5000</v>
      </c>
      <c r="G37" s="55">
        <v>12000</v>
      </c>
      <c r="H37" s="55"/>
      <c r="I37" s="55">
        <v>8000</v>
      </c>
      <c r="J37" s="55">
        <v>11000</v>
      </c>
      <c r="K37" s="55">
        <v>13000</v>
      </c>
      <c r="L37" s="55">
        <v>13000</v>
      </c>
      <c r="M37" s="39">
        <f t="shared" si="0"/>
        <v>85000</v>
      </c>
      <c r="N37" s="10"/>
    </row>
    <row r="38" spans="1:14" x14ac:dyDescent="0.25">
      <c r="A38" s="10"/>
      <c r="B38" s="38" t="str">
        <v>Telephone</v>
      </c>
      <c r="C38" s="55">
        <v>10000</v>
      </c>
      <c r="D38" s="55">
        <v>15000</v>
      </c>
      <c r="E38" s="55">
        <v>15000</v>
      </c>
      <c r="F38" s="55">
        <v>12000</v>
      </c>
      <c r="G38" s="55">
        <v>10000</v>
      </c>
      <c r="H38" s="55"/>
      <c r="I38" s="55">
        <v>15000</v>
      </c>
      <c r="J38" s="55">
        <v>3000</v>
      </c>
      <c r="K38" s="55">
        <v>3000</v>
      </c>
      <c r="L38" s="55">
        <v>11000</v>
      </c>
      <c r="M38" s="39">
        <f t="shared" si="0"/>
        <v>94000</v>
      </c>
      <c r="N38" s="10"/>
    </row>
    <row r="39" spans="1:14" x14ac:dyDescent="0.25">
      <c r="A39" s="10"/>
      <c r="B39" s="38" t="str">
        <v>Postage &amp; Shipping</v>
      </c>
      <c r="C39" s="55">
        <v>3000</v>
      </c>
      <c r="D39" s="55">
        <v>7000</v>
      </c>
      <c r="E39" s="55">
        <v>7000</v>
      </c>
      <c r="F39" s="55">
        <v>6000</v>
      </c>
      <c r="G39" s="55">
        <v>8000</v>
      </c>
      <c r="H39" s="55"/>
      <c r="I39" s="55">
        <v>9000</v>
      </c>
      <c r="J39" s="55">
        <v>2000</v>
      </c>
      <c r="K39" s="55">
        <v>3000</v>
      </c>
      <c r="L39" s="55">
        <v>4000</v>
      </c>
      <c r="M39" s="39">
        <f t="shared" si="0"/>
        <v>49000</v>
      </c>
      <c r="N39" s="10"/>
    </row>
    <row r="40" spans="1:14" x14ac:dyDescent="0.25">
      <c r="A40" s="10"/>
      <c r="B40" s="38" t="str">
        <v>Occupancy</v>
      </c>
      <c r="C40" s="55">
        <v>9000</v>
      </c>
      <c r="D40" s="55">
        <v>7000</v>
      </c>
      <c r="E40" s="55">
        <v>11000</v>
      </c>
      <c r="F40" s="55">
        <v>2000</v>
      </c>
      <c r="G40" s="55">
        <v>12000</v>
      </c>
      <c r="H40" s="55"/>
      <c r="I40" s="55">
        <v>14000</v>
      </c>
      <c r="J40" s="55">
        <v>7000</v>
      </c>
      <c r="K40" s="55">
        <v>4000</v>
      </c>
      <c r="L40" s="55">
        <v>15000</v>
      </c>
      <c r="M40" s="39">
        <f t="shared" si="0"/>
        <v>81000</v>
      </c>
      <c r="N40" s="10"/>
    </row>
    <row r="41" spans="1:14" x14ac:dyDescent="0.25">
      <c r="A41" s="10"/>
      <c r="B41" s="38" t="str">
        <v>Equipment Rental &amp; Maintenance</v>
      </c>
      <c r="C41" s="55">
        <v>12000</v>
      </c>
      <c r="D41" s="55">
        <v>12000</v>
      </c>
      <c r="E41" s="55">
        <v>11000</v>
      </c>
      <c r="F41" s="55">
        <v>11000</v>
      </c>
      <c r="G41" s="55">
        <v>11000</v>
      </c>
      <c r="H41" s="55"/>
      <c r="I41" s="55">
        <v>13000</v>
      </c>
      <c r="J41" s="55">
        <v>13000</v>
      </c>
      <c r="K41" s="55">
        <v>14000</v>
      </c>
      <c r="L41" s="55">
        <v>15000</v>
      </c>
      <c r="M41" s="39">
        <f t="shared" si="0"/>
        <v>112000</v>
      </c>
      <c r="N41" s="10"/>
    </row>
    <row r="42" spans="1:14" x14ac:dyDescent="0.25">
      <c r="A42" s="10"/>
      <c r="B42" s="38" t="str">
        <v>Printing &amp; Publications</v>
      </c>
      <c r="C42" s="55">
        <v>12000</v>
      </c>
      <c r="D42" s="55">
        <v>10000</v>
      </c>
      <c r="E42" s="55">
        <v>13000</v>
      </c>
      <c r="F42" s="55">
        <v>15000</v>
      </c>
      <c r="G42" s="55">
        <v>14000</v>
      </c>
      <c r="H42" s="55"/>
      <c r="I42" s="55">
        <v>12000</v>
      </c>
      <c r="J42" s="55">
        <v>14000</v>
      </c>
      <c r="K42" s="55">
        <v>8000</v>
      </c>
      <c r="L42" s="55">
        <v>15000</v>
      </c>
      <c r="M42" s="39">
        <f t="shared" si="0"/>
        <v>113000</v>
      </c>
      <c r="N42" s="10"/>
    </row>
    <row r="43" spans="1:14" x14ac:dyDescent="0.25">
      <c r="A43" s="10"/>
      <c r="B43" s="38" t="str">
        <v>Travel / Conferences &amp; Meetings</v>
      </c>
      <c r="C43" s="55">
        <v>12000</v>
      </c>
      <c r="D43" s="55">
        <v>13000</v>
      </c>
      <c r="E43" s="55">
        <v>12000</v>
      </c>
      <c r="F43" s="55">
        <v>9000</v>
      </c>
      <c r="G43" s="55">
        <v>3000</v>
      </c>
      <c r="H43" s="55"/>
      <c r="I43" s="55">
        <v>5000</v>
      </c>
      <c r="J43" s="55">
        <v>6000</v>
      </c>
      <c r="K43" s="55">
        <v>13000</v>
      </c>
      <c r="L43" s="55">
        <v>8000</v>
      </c>
      <c r="M43" s="39">
        <f t="shared" si="0"/>
        <v>81000</v>
      </c>
      <c r="N43" s="10"/>
    </row>
    <row r="44" spans="1:14" x14ac:dyDescent="0.25">
      <c r="A44" s="10"/>
      <c r="B44" s="38" t="str">
        <v>Insurance</v>
      </c>
      <c r="C44" s="55">
        <v>13000</v>
      </c>
      <c r="D44" s="55">
        <v>6000</v>
      </c>
      <c r="E44" s="55">
        <v>6000</v>
      </c>
      <c r="F44" s="55">
        <v>9000</v>
      </c>
      <c r="G44" s="55">
        <v>9000</v>
      </c>
      <c r="H44" s="55"/>
      <c r="I44" s="55">
        <v>7000</v>
      </c>
      <c r="J44" s="55">
        <v>7000</v>
      </c>
      <c r="K44" s="55">
        <v>8000</v>
      </c>
      <c r="L44" s="55">
        <v>8000</v>
      </c>
      <c r="M44" s="39">
        <f t="shared" si="0"/>
        <v>73000</v>
      </c>
      <c r="N44" s="10"/>
    </row>
    <row r="45" spans="1:14" x14ac:dyDescent="0.25">
      <c r="A45" s="10"/>
      <c r="B45" s="38" t="str">
        <v>Specific Assistance to Individuals</v>
      </c>
      <c r="C45" s="55">
        <v>5000</v>
      </c>
      <c r="D45" s="55">
        <v>5000</v>
      </c>
      <c r="E45" s="55">
        <v>4000</v>
      </c>
      <c r="F45" s="55">
        <v>13000</v>
      </c>
      <c r="G45" s="55">
        <v>11000</v>
      </c>
      <c r="H45" s="55"/>
      <c r="I45" s="55">
        <v>2000</v>
      </c>
      <c r="J45" s="55">
        <v>3000</v>
      </c>
      <c r="K45" s="55">
        <v>3000</v>
      </c>
      <c r="L45" s="55">
        <v>7000</v>
      </c>
      <c r="M45" s="39">
        <f t="shared" si="0"/>
        <v>53000</v>
      </c>
      <c r="N45" s="10"/>
    </row>
    <row r="46" spans="1:14" x14ac:dyDescent="0.25">
      <c r="A46" s="10"/>
      <c r="B46" s="38" t="str">
        <v>Depreciation</v>
      </c>
      <c r="C46" s="55">
        <v>5000</v>
      </c>
      <c r="D46" s="55">
        <v>8000</v>
      </c>
      <c r="E46" s="55">
        <v>13000</v>
      </c>
      <c r="F46" s="55">
        <v>7000</v>
      </c>
      <c r="G46" s="55">
        <v>12000</v>
      </c>
      <c r="H46" s="55"/>
      <c r="I46" s="55">
        <v>10000</v>
      </c>
      <c r="J46" s="55">
        <v>4000</v>
      </c>
      <c r="K46" s="55">
        <v>3000</v>
      </c>
      <c r="L46" s="55">
        <v>14000</v>
      </c>
      <c r="M46" s="39">
        <f t="shared" si="0"/>
        <v>76000</v>
      </c>
      <c r="N46" s="10"/>
    </row>
    <row r="47" spans="1:14" x14ac:dyDescent="0.25">
      <c r="A47" s="10"/>
      <c r="B47" s="38" t="str">
        <v>Other Non_Personnel</v>
      </c>
      <c r="C47" s="55">
        <v>6000</v>
      </c>
      <c r="D47" s="55">
        <v>11000</v>
      </c>
      <c r="E47" s="55">
        <v>9000</v>
      </c>
      <c r="F47" s="55">
        <v>9000</v>
      </c>
      <c r="G47" s="55">
        <v>15000</v>
      </c>
      <c r="H47" s="55"/>
      <c r="I47" s="55">
        <v>11000</v>
      </c>
      <c r="J47" s="55">
        <v>3000</v>
      </c>
      <c r="K47" s="55">
        <v>10000</v>
      </c>
      <c r="L47" s="55">
        <v>14000</v>
      </c>
      <c r="M47" s="39">
        <f t="shared" si="0"/>
        <v>88000</v>
      </c>
      <c r="N47" s="10"/>
    </row>
    <row r="48" spans="1:14" x14ac:dyDescent="0.25">
      <c r="A48" s="10"/>
      <c r="B48" s="40" t="str">
        <v>Indirect Cost / Adm. Exp. / M&amp;G</v>
      </c>
      <c r="C48" s="56">
        <v>8000</v>
      </c>
      <c r="D48" s="56">
        <v>12000</v>
      </c>
      <c r="E48" s="56">
        <v>2000</v>
      </c>
      <c r="F48" s="56">
        <v>5000</v>
      </c>
      <c r="G48" s="56">
        <v>12000</v>
      </c>
      <c r="H48" s="56"/>
      <c r="I48" s="56">
        <v>9000</v>
      </c>
      <c r="J48" s="56">
        <v>10000</v>
      </c>
      <c r="K48" s="56">
        <v>5000</v>
      </c>
      <c r="L48" s="56">
        <v>11000</v>
      </c>
      <c r="M48" s="41">
        <f t="shared" si="0"/>
        <v>74000</v>
      </c>
      <c r="N48" s="10"/>
    </row>
    <row r="49" spans="1:14" ht="15.75" thickBot="1" x14ac:dyDescent="0.3">
      <c r="A49" s="10"/>
      <c r="B49" s="42" t="s">
        <v>51</v>
      </c>
      <c r="C49" s="43">
        <f>SUM(C34:C48)</f>
        <v>122000</v>
      </c>
      <c r="D49" s="43">
        <f t="shared" ref="D49:M49" si="1">SUM(D34:D48)</f>
        <v>123000</v>
      </c>
      <c r="E49" s="43">
        <f t="shared" si="1"/>
        <v>131000</v>
      </c>
      <c r="F49" s="43">
        <f t="shared" si="1"/>
        <v>112000</v>
      </c>
      <c r="G49" s="43">
        <f t="shared" si="1"/>
        <v>136000</v>
      </c>
      <c r="H49" s="43">
        <f t="shared" si="1"/>
        <v>0</v>
      </c>
      <c r="I49" s="43">
        <f t="shared" si="1"/>
        <v>130000</v>
      </c>
      <c r="J49" s="43">
        <f t="shared" si="1"/>
        <v>89000</v>
      </c>
      <c r="K49" s="43">
        <f t="shared" si="1"/>
        <v>109000</v>
      </c>
      <c r="L49" s="43">
        <f t="shared" si="1"/>
        <v>153000</v>
      </c>
      <c r="M49" s="44">
        <f t="shared" si="1"/>
        <v>1105000</v>
      </c>
      <c r="N49" s="10"/>
    </row>
    <row r="50" spans="1:14" ht="15.75" thickBot="1" x14ac:dyDescent="0.3">
      <c r="A50" s="10"/>
      <c r="B50" s="11"/>
      <c r="C50" s="10"/>
      <c r="D50" s="10"/>
      <c r="E50" s="10"/>
      <c r="F50" s="10"/>
      <c r="G50" s="10"/>
      <c r="H50" s="10"/>
      <c r="I50" s="10"/>
      <c r="J50" s="10"/>
      <c r="K50" s="10"/>
      <c r="L50" s="10"/>
      <c r="M50" s="10"/>
      <c r="N50" s="10"/>
    </row>
    <row r="51" spans="1:14" ht="18.75" x14ac:dyDescent="0.3">
      <c r="A51" s="10"/>
      <c r="B51" s="13" t="str">
        <f>"Allocated Funds for Carryover Contract "&amp;RolloverContractNumber</f>
        <v>Allocated Funds for Carryover Contract FY19-67890</v>
      </c>
      <c r="C51" s="14"/>
      <c r="D51" s="14"/>
      <c r="E51" s="14"/>
      <c r="F51" s="14"/>
      <c r="G51" s="14"/>
      <c r="H51" s="14"/>
      <c r="I51" s="14"/>
      <c r="J51" s="14"/>
      <c r="K51" s="14"/>
      <c r="L51" s="14"/>
      <c r="M51" s="15"/>
      <c r="N51" s="10"/>
    </row>
    <row r="52" spans="1:14" ht="7.5" customHeight="1" x14ac:dyDescent="0.25">
      <c r="A52" s="10"/>
      <c r="B52" s="25"/>
      <c r="C52" s="17"/>
      <c r="D52" s="17"/>
      <c r="E52" s="17"/>
      <c r="F52" s="17"/>
      <c r="G52" s="17"/>
      <c r="H52" s="17"/>
      <c r="I52" s="17"/>
      <c r="J52" s="17"/>
      <c r="K52" s="17"/>
      <c r="L52" s="17"/>
      <c r="M52" s="18"/>
      <c r="N52" s="10"/>
    </row>
    <row r="53" spans="1:14" x14ac:dyDescent="0.25">
      <c r="A53" s="10"/>
      <c r="B53" s="204" t="s">
        <v>92</v>
      </c>
      <c r="C53" s="205"/>
      <c r="D53" s="205"/>
      <c r="E53" s="205"/>
      <c r="F53" s="205"/>
      <c r="G53" s="205"/>
      <c r="H53" s="205"/>
      <c r="I53" s="205"/>
      <c r="J53" s="205"/>
      <c r="K53" s="115" t="s">
        <v>121</v>
      </c>
      <c r="L53" s="116"/>
      <c r="M53" s="18"/>
      <c r="N53" s="10"/>
    </row>
    <row r="54" spans="1:14" ht="7.5" customHeight="1" x14ac:dyDescent="0.25">
      <c r="A54" s="10"/>
      <c r="B54" s="25"/>
      <c r="C54" s="17"/>
      <c r="D54" s="17"/>
      <c r="E54" s="17"/>
      <c r="F54" s="17"/>
      <c r="G54" s="17"/>
      <c r="H54" s="17"/>
      <c r="I54" s="17"/>
      <c r="J54" s="17"/>
      <c r="K54" s="17"/>
      <c r="L54" s="17"/>
      <c r="M54" s="18"/>
      <c r="N54" s="10"/>
    </row>
    <row r="55" spans="1:14" x14ac:dyDescent="0.25">
      <c r="A55" s="10"/>
      <c r="B55" s="33" t="s">
        <v>89</v>
      </c>
      <c r="C55" s="34" t="str">
        <f t="array" ref="C55:L55">TRANSPOSE(INDEX(Domains,,2))</f>
        <v>EMP</v>
      </c>
      <c r="D55" s="34" t="str">
        <v>ED and CD</v>
      </c>
      <c r="E55" s="34" t="str">
        <v>II and AB</v>
      </c>
      <c r="F55" s="34" t="str">
        <v>Housing</v>
      </c>
      <c r="G55" s="34" t="str">
        <v>H and S BD</v>
      </c>
      <c r="H55" s="34" t="str">
        <v>CE and CI</v>
      </c>
      <c r="I55" s="34" t="str">
        <v>SSMD</v>
      </c>
      <c r="J55" s="34" t="str">
        <v>Linkages</v>
      </c>
      <c r="K55" s="34" t="str">
        <v>ACB</v>
      </c>
      <c r="L55" s="34" t="str">
        <v>Other</v>
      </c>
      <c r="M55" s="35" t="s">
        <v>51</v>
      </c>
      <c r="N55" s="10"/>
    </row>
    <row r="56" spans="1:14" x14ac:dyDescent="0.25">
      <c r="A56" s="10"/>
      <c r="B56" s="36" t="str">
        <f t="array" ref="B56:B70">Categories</f>
        <v>Salaries</v>
      </c>
      <c r="C56" s="54">
        <v>900</v>
      </c>
      <c r="D56" s="54">
        <v>1600</v>
      </c>
      <c r="E56" s="54">
        <v>1000</v>
      </c>
      <c r="F56" s="54">
        <v>700</v>
      </c>
      <c r="G56" s="54">
        <v>600</v>
      </c>
      <c r="H56" s="54">
        <v>2000</v>
      </c>
      <c r="I56" s="54">
        <v>1800</v>
      </c>
      <c r="J56" s="54"/>
      <c r="K56" s="54">
        <v>2100</v>
      </c>
      <c r="L56" s="54"/>
      <c r="M56" s="37">
        <f>SUM(C56:L56)</f>
        <v>10700</v>
      </c>
      <c r="N56" s="10"/>
    </row>
    <row r="57" spans="1:14" x14ac:dyDescent="0.25">
      <c r="A57" s="10"/>
      <c r="B57" s="38" t="str">
        <v>Benefits &amp; Taxes</v>
      </c>
      <c r="C57" s="55"/>
      <c r="D57" s="55">
        <v>2100</v>
      </c>
      <c r="E57" s="55">
        <v>1200</v>
      </c>
      <c r="F57" s="55">
        <v>2100</v>
      </c>
      <c r="G57" s="55">
        <v>700</v>
      </c>
      <c r="H57" s="55"/>
      <c r="I57" s="55">
        <v>500</v>
      </c>
      <c r="J57" s="55"/>
      <c r="K57" s="55">
        <v>1100</v>
      </c>
      <c r="L57" s="55"/>
      <c r="M57" s="39">
        <f t="shared" ref="M57:M70" si="2">SUM(C57:L57)</f>
        <v>7700</v>
      </c>
      <c r="N57" s="10"/>
    </row>
    <row r="58" spans="1:14" x14ac:dyDescent="0.25">
      <c r="A58" s="10"/>
      <c r="B58" s="38" t="str">
        <v>Professional Fee / Grant &amp; Award</v>
      </c>
      <c r="C58" s="55">
        <v>1600</v>
      </c>
      <c r="D58" s="55">
        <v>500</v>
      </c>
      <c r="E58" s="55">
        <v>1800</v>
      </c>
      <c r="F58" s="55">
        <v>500</v>
      </c>
      <c r="G58" s="55">
        <v>600</v>
      </c>
      <c r="H58" s="55">
        <v>1700</v>
      </c>
      <c r="I58" s="55">
        <v>1400</v>
      </c>
      <c r="J58" s="55"/>
      <c r="K58" s="55"/>
      <c r="L58" s="55">
        <v>1000</v>
      </c>
      <c r="M58" s="39">
        <f t="shared" si="2"/>
        <v>9100</v>
      </c>
      <c r="N58" s="10"/>
    </row>
    <row r="59" spans="1:14" x14ac:dyDescent="0.25">
      <c r="A59" s="10"/>
      <c r="B59" s="38" t="str">
        <v>Supplies</v>
      </c>
      <c r="C59" s="55">
        <v>900</v>
      </c>
      <c r="D59" s="55"/>
      <c r="E59" s="55">
        <v>1700</v>
      </c>
      <c r="F59" s="55"/>
      <c r="G59" s="55">
        <v>1400</v>
      </c>
      <c r="H59" s="55"/>
      <c r="I59" s="55"/>
      <c r="J59" s="55"/>
      <c r="K59" s="55">
        <v>1800</v>
      </c>
      <c r="L59" s="55">
        <v>1300</v>
      </c>
      <c r="M59" s="39">
        <f t="shared" si="2"/>
        <v>7100</v>
      </c>
      <c r="N59" s="10"/>
    </row>
    <row r="60" spans="1:14" x14ac:dyDescent="0.25">
      <c r="A60" s="10"/>
      <c r="B60" s="38" t="str">
        <v>Telephone</v>
      </c>
      <c r="C60" s="55">
        <v>1200</v>
      </c>
      <c r="D60" s="55"/>
      <c r="E60" s="55"/>
      <c r="F60" s="55">
        <v>1800</v>
      </c>
      <c r="G60" s="55"/>
      <c r="H60" s="55">
        <v>1200</v>
      </c>
      <c r="I60" s="55">
        <v>1000</v>
      </c>
      <c r="J60" s="55"/>
      <c r="K60" s="55">
        <v>1200</v>
      </c>
      <c r="L60" s="55">
        <v>1600</v>
      </c>
      <c r="M60" s="39">
        <f t="shared" si="2"/>
        <v>8000</v>
      </c>
      <c r="N60" s="10"/>
    </row>
    <row r="61" spans="1:14" x14ac:dyDescent="0.25">
      <c r="A61" s="10"/>
      <c r="B61" s="38" t="str">
        <v>Postage &amp; Shipping</v>
      </c>
      <c r="C61" s="55">
        <v>1400</v>
      </c>
      <c r="D61" s="55">
        <v>1300</v>
      </c>
      <c r="E61" s="55">
        <v>1700</v>
      </c>
      <c r="F61" s="55">
        <v>800</v>
      </c>
      <c r="G61" s="55"/>
      <c r="H61" s="55">
        <v>1000</v>
      </c>
      <c r="I61" s="55">
        <v>700</v>
      </c>
      <c r="J61" s="55"/>
      <c r="K61" s="55">
        <v>700</v>
      </c>
      <c r="L61" s="55">
        <v>1800</v>
      </c>
      <c r="M61" s="39">
        <f t="shared" si="2"/>
        <v>9400</v>
      </c>
      <c r="N61" s="10"/>
    </row>
    <row r="62" spans="1:14" x14ac:dyDescent="0.25">
      <c r="A62" s="10"/>
      <c r="B62" s="38" t="str">
        <v>Occupancy</v>
      </c>
      <c r="C62" s="55"/>
      <c r="D62" s="55">
        <v>500</v>
      </c>
      <c r="E62" s="55"/>
      <c r="F62" s="55"/>
      <c r="G62" s="55">
        <v>1700</v>
      </c>
      <c r="H62" s="55">
        <v>1800</v>
      </c>
      <c r="I62" s="55">
        <v>500</v>
      </c>
      <c r="J62" s="55"/>
      <c r="K62" s="55">
        <v>2400</v>
      </c>
      <c r="L62" s="55"/>
      <c r="M62" s="39">
        <f t="shared" si="2"/>
        <v>6900</v>
      </c>
      <c r="N62" s="10"/>
    </row>
    <row r="63" spans="1:14" x14ac:dyDescent="0.25">
      <c r="A63" s="10"/>
      <c r="B63" s="38" t="str">
        <v>Equipment Rental &amp; Maintenance</v>
      </c>
      <c r="C63" s="55">
        <v>1600</v>
      </c>
      <c r="D63" s="55"/>
      <c r="E63" s="55"/>
      <c r="F63" s="55"/>
      <c r="G63" s="55">
        <v>2200</v>
      </c>
      <c r="H63" s="55">
        <v>800</v>
      </c>
      <c r="I63" s="55">
        <v>2100</v>
      </c>
      <c r="J63" s="55"/>
      <c r="K63" s="55">
        <v>1700</v>
      </c>
      <c r="L63" s="55">
        <v>2200</v>
      </c>
      <c r="M63" s="39">
        <f t="shared" si="2"/>
        <v>10600</v>
      </c>
      <c r="N63" s="10"/>
    </row>
    <row r="64" spans="1:14" x14ac:dyDescent="0.25">
      <c r="A64" s="10"/>
      <c r="B64" s="38" t="str">
        <v>Printing &amp; Publications</v>
      </c>
      <c r="C64" s="55"/>
      <c r="D64" s="55"/>
      <c r="E64" s="55">
        <v>2000</v>
      </c>
      <c r="F64" s="55">
        <v>700</v>
      </c>
      <c r="G64" s="55"/>
      <c r="H64" s="55">
        <v>1200</v>
      </c>
      <c r="I64" s="55">
        <v>1900</v>
      </c>
      <c r="J64" s="55"/>
      <c r="K64" s="55">
        <v>2500</v>
      </c>
      <c r="L64" s="55">
        <v>1200</v>
      </c>
      <c r="M64" s="39">
        <f t="shared" si="2"/>
        <v>9500</v>
      </c>
      <c r="N64" s="10"/>
    </row>
    <row r="65" spans="1:14" x14ac:dyDescent="0.25">
      <c r="A65" s="10"/>
      <c r="B65" s="38" t="str">
        <v>Travel / Conferences &amp; Meetings</v>
      </c>
      <c r="C65" s="55">
        <v>1700</v>
      </c>
      <c r="D65" s="55">
        <v>1000</v>
      </c>
      <c r="E65" s="55">
        <v>1900</v>
      </c>
      <c r="F65" s="55">
        <v>1800</v>
      </c>
      <c r="G65" s="55"/>
      <c r="H65" s="55"/>
      <c r="I65" s="55">
        <v>800</v>
      </c>
      <c r="J65" s="55"/>
      <c r="K65" s="55"/>
      <c r="L65" s="55">
        <v>2100</v>
      </c>
      <c r="M65" s="39">
        <f t="shared" si="2"/>
        <v>9300</v>
      </c>
      <c r="N65" s="10"/>
    </row>
    <row r="66" spans="1:14" x14ac:dyDescent="0.25">
      <c r="A66" s="10"/>
      <c r="B66" s="38" t="str">
        <v>Insurance</v>
      </c>
      <c r="C66" s="55"/>
      <c r="D66" s="55"/>
      <c r="E66" s="55"/>
      <c r="F66" s="55"/>
      <c r="G66" s="55">
        <v>1100</v>
      </c>
      <c r="H66" s="55">
        <v>1600</v>
      </c>
      <c r="I66" s="55">
        <v>1600</v>
      </c>
      <c r="J66" s="55"/>
      <c r="K66" s="55">
        <v>800</v>
      </c>
      <c r="L66" s="55"/>
      <c r="M66" s="39">
        <f t="shared" si="2"/>
        <v>5100</v>
      </c>
      <c r="N66" s="10"/>
    </row>
    <row r="67" spans="1:14" x14ac:dyDescent="0.25">
      <c r="A67" s="10"/>
      <c r="B67" s="38" t="str">
        <v>Specific Assistance to Individuals</v>
      </c>
      <c r="C67" s="55">
        <v>1400</v>
      </c>
      <c r="D67" s="55">
        <v>600</v>
      </c>
      <c r="E67" s="55">
        <v>1700</v>
      </c>
      <c r="F67" s="55"/>
      <c r="G67" s="55"/>
      <c r="H67" s="55">
        <v>2200</v>
      </c>
      <c r="I67" s="55">
        <v>1200</v>
      </c>
      <c r="J67" s="55"/>
      <c r="K67" s="55">
        <v>2400</v>
      </c>
      <c r="L67" s="55">
        <v>800</v>
      </c>
      <c r="M67" s="39">
        <f t="shared" si="2"/>
        <v>10300</v>
      </c>
      <c r="N67" s="10"/>
    </row>
    <row r="68" spans="1:14" x14ac:dyDescent="0.25">
      <c r="A68" s="10"/>
      <c r="B68" s="38" t="str">
        <v>Depreciation</v>
      </c>
      <c r="C68" s="55"/>
      <c r="D68" s="55"/>
      <c r="E68" s="55">
        <v>2100</v>
      </c>
      <c r="F68" s="55">
        <v>1300</v>
      </c>
      <c r="G68" s="55"/>
      <c r="H68" s="55">
        <v>2500</v>
      </c>
      <c r="I68" s="55">
        <v>900</v>
      </c>
      <c r="J68" s="55"/>
      <c r="K68" s="55">
        <v>1400</v>
      </c>
      <c r="L68" s="55">
        <v>1600</v>
      </c>
      <c r="M68" s="39">
        <f t="shared" si="2"/>
        <v>9800</v>
      </c>
      <c r="N68" s="10"/>
    </row>
    <row r="69" spans="1:14" x14ac:dyDescent="0.25">
      <c r="A69" s="10"/>
      <c r="B69" s="38" t="str">
        <v>Other Non_Personnel</v>
      </c>
      <c r="C69" s="55">
        <v>1400</v>
      </c>
      <c r="D69" s="55">
        <v>1600</v>
      </c>
      <c r="E69" s="55">
        <v>1800</v>
      </c>
      <c r="F69" s="55">
        <v>800</v>
      </c>
      <c r="G69" s="55"/>
      <c r="H69" s="55">
        <v>500</v>
      </c>
      <c r="I69" s="55">
        <v>1500</v>
      </c>
      <c r="J69" s="55"/>
      <c r="K69" s="55">
        <v>1200</v>
      </c>
      <c r="L69" s="55"/>
      <c r="M69" s="39">
        <f t="shared" si="2"/>
        <v>8800</v>
      </c>
      <c r="N69" s="10"/>
    </row>
    <row r="70" spans="1:14" x14ac:dyDescent="0.25">
      <c r="A70" s="10"/>
      <c r="B70" s="40" t="str">
        <v>Indirect Cost / Adm. Exp. / M&amp;G</v>
      </c>
      <c r="C70" s="56">
        <v>1900</v>
      </c>
      <c r="D70" s="56">
        <v>600</v>
      </c>
      <c r="E70" s="56"/>
      <c r="F70" s="56">
        <v>700</v>
      </c>
      <c r="G70" s="56">
        <v>800</v>
      </c>
      <c r="H70" s="56">
        <v>1500</v>
      </c>
      <c r="I70" s="56">
        <v>1300</v>
      </c>
      <c r="J70" s="56"/>
      <c r="K70" s="56">
        <v>1300</v>
      </c>
      <c r="L70" s="56">
        <v>2500</v>
      </c>
      <c r="M70" s="41">
        <f t="shared" si="2"/>
        <v>10600</v>
      </c>
      <c r="N70" s="10"/>
    </row>
    <row r="71" spans="1:14" ht="15.75" thickBot="1" x14ac:dyDescent="0.3">
      <c r="A71" s="10"/>
      <c r="B71" s="42" t="s">
        <v>51</v>
      </c>
      <c r="C71" s="43">
        <f t="shared" ref="C71:M71" si="3">SUM(C56:C70)</f>
        <v>14000</v>
      </c>
      <c r="D71" s="43">
        <f t="shared" si="3"/>
        <v>9800</v>
      </c>
      <c r="E71" s="43">
        <f t="shared" si="3"/>
        <v>16900</v>
      </c>
      <c r="F71" s="43">
        <f t="shared" si="3"/>
        <v>11200</v>
      </c>
      <c r="G71" s="43">
        <f t="shared" si="3"/>
        <v>9100</v>
      </c>
      <c r="H71" s="43">
        <f t="shared" si="3"/>
        <v>18000</v>
      </c>
      <c r="I71" s="43">
        <f t="shared" si="3"/>
        <v>17200</v>
      </c>
      <c r="J71" s="43">
        <f t="shared" si="3"/>
        <v>0</v>
      </c>
      <c r="K71" s="43">
        <f t="shared" si="3"/>
        <v>20600</v>
      </c>
      <c r="L71" s="43">
        <f t="shared" si="3"/>
        <v>16100</v>
      </c>
      <c r="M71" s="44">
        <f t="shared" si="3"/>
        <v>132900</v>
      </c>
      <c r="N71" s="10"/>
    </row>
    <row r="72" spans="1:14" ht="15.75" thickBot="1" x14ac:dyDescent="0.3">
      <c r="A72" s="10"/>
      <c r="B72" s="11"/>
      <c r="C72" s="10"/>
      <c r="D72" s="10"/>
      <c r="E72" s="10"/>
      <c r="F72" s="10"/>
      <c r="G72" s="10"/>
      <c r="H72" s="10"/>
      <c r="I72" s="10"/>
      <c r="J72" s="10"/>
      <c r="K72" s="10"/>
      <c r="L72" s="10"/>
      <c r="M72" s="10"/>
      <c r="N72" s="10"/>
    </row>
    <row r="73" spans="1:14" ht="18.75" x14ac:dyDescent="0.3">
      <c r="A73" s="10"/>
      <c r="B73" s="13" t="str">
        <f>"Carryover funds from Contract "&amp;CurrentContractNumber</f>
        <v>Carryover funds from Contract FY20-12345</v>
      </c>
      <c r="C73" s="14"/>
      <c r="D73" s="14"/>
      <c r="E73" s="14"/>
      <c r="F73" s="14"/>
      <c r="G73" s="14"/>
      <c r="H73" s="14"/>
      <c r="I73" s="14"/>
      <c r="J73" s="14"/>
      <c r="K73" s="14"/>
      <c r="L73" s="14"/>
      <c r="M73" s="15"/>
      <c r="N73" s="10"/>
    </row>
    <row r="74" spans="1:14" s="32" customFormat="1" ht="7.5" customHeight="1" x14ac:dyDescent="0.25">
      <c r="A74" s="28"/>
      <c r="B74" s="29"/>
      <c r="C74" s="30"/>
      <c r="D74" s="30"/>
      <c r="E74" s="30"/>
      <c r="F74" s="30"/>
      <c r="G74" s="30"/>
      <c r="H74" s="30"/>
      <c r="I74" s="30"/>
      <c r="J74" s="30"/>
      <c r="K74" s="30"/>
      <c r="L74" s="30"/>
      <c r="M74" s="31"/>
      <c r="N74" s="28"/>
    </row>
    <row r="75" spans="1:14" s="32" customFormat="1" ht="30" customHeight="1" x14ac:dyDescent="0.25">
      <c r="A75" s="28"/>
      <c r="B75" s="204" t="s">
        <v>75</v>
      </c>
      <c r="C75" s="205"/>
      <c r="D75" s="205"/>
      <c r="E75" s="205"/>
      <c r="F75" s="205"/>
      <c r="G75" s="205"/>
      <c r="H75" s="205"/>
      <c r="I75" s="205"/>
      <c r="J75" s="205"/>
      <c r="K75" s="115" t="s">
        <v>121</v>
      </c>
      <c r="L75" s="128">
        <f>TACA!P5</f>
        <v>0</v>
      </c>
      <c r="M75" s="45" t="str">
        <f>HYPERLINK("#setup!C78:L92","Select Data")</f>
        <v>Select Data</v>
      </c>
      <c r="N75" s="28"/>
    </row>
    <row r="76" spans="1:14" s="32" customFormat="1" ht="7.5" customHeight="1" x14ac:dyDescent="0.25">
      <c r="A76" s="28"/>
      <c r="B76" s="29"/>
      <c r="C76" s="30"/>
      <c r="D76" s="30"/>
      <c r="E76" s="30"/>
      <c r="F76" s="30"/>
      <c r="G76" s="30"/>
      <c r="H76" s="30"/>
      <c r="I76" s="30"/>
      <c r="J76" s="30"/>
      <c r="K76" s="30"/>
      <c r="L76" s="30"/>
      <c r="M76" s="31"/>
      <c r="N76" s="28"/>
    </row>
    <row r="77" spans="1:14" x14ac:dyDescent="0.25">
      <c r="A77" s="10"/>
      <c r="B77" s="33" t="s">
        <v>89</v>
      </c>
      <c r="C77" s="34" t="str">
        <f t="array" ref="C77:L77">TRANSPOSE(INDEX(Domains,,2))</f>
        <v>EMP</v>
      </c>
      <c r="D77" s="34" t="str">
        <v>ED and CD</v>
      </c>
      <c r="E77" s="34" t="str">
        <v>II and AB</v>
      </c>
      <c r="F77" s="34" t="str">
        <v>Housing</v>
      </c>
      <c r="G77" s="34" t="str">
        <v>H and S BD</v>
      </c>
      <c r="H77" s="34" t="str">
        <v>CE and CI</v>
      </c>
      <c r="I77" s="34" t="str">
        <v>SSMD</v>
      </c>
      <c r="J77" s="34" t="str">
        <v>Linkages</v>
      </c>
      <c r="K77" s="34" t="str">
        <v>ACB</v>
      </c>
      <c r="L77" s="34" t="str">
        <v>Other</v>
      </c>
      <c r="M77" s="35" t="s">
        <v>51</v>
      </c>
      <c r="N77" s="10"/>
    </row>
    <row r="78" spans="1:14" x14ac:dyDescent="0.25">
      <c r="A78" s="10"/>
      <c r="B78" s="36" t="s">
        <v>26</v>
      </c>
      <c r="C78" s="46">
        <f t="array" aca="1" ref="C78:C92" ca="1">INDIRECT("'"&amp;C$77&amp;"'!P5:P19")</f>
        <v>0</v>
      </c>
      <c r="D78" s="46">
        <f t="array" aca="1" ref="D78:D92" ca="1">INDIRECT("'"&amp;D$77&amp;"'!P5:P19")</f>
        <v>0</v>
      </c>
      <c r="E78" s="46">
        <f t="array" aca="1" ref="E78:E92" ca="1">INDIRECT("'"&amp;E$77&amp;"'!P5:P19")</f>
        <v>0</v>
      </c>
      <c r="F78" s="46">
        <f t="array" aca="1" ref="F78:F92" ca="1">INDIRECT("'"&amp;F$77&amp;"'!P5:P19")</f>
        <v>0</v>
      </c>
      <c r="G78" s="46">
        <f t="array" aca="1" ref="G78:G92" ca="1">INDIRECT("'"&amp;G$77&amp;"'!P5:P19")</f>
        <v>0</v>
      </c>
      <c r="H78" s="46">
        <f t="array" aca="1" ref="H78:H92" ca="1">INDIRECT("'"&amp;H$77&amp;"'!P5:P19")</f>
        <v>0</v>
      </c>
      <c r="I78" s="46">
        <f t="array" aca="1" ref="I78:I92" ca="1">INDIRECT("'"&amp;I$77&amp;"'!P5:P19")</f>
        <v>0</v>
      </c>
      <c r="J78" s="46">
        <f t="array" aca="1" ref="J78:J92" ca="1">INDIRECT("'"&amp;J$77&amp;"'!P5:P19")</f>
        <v>0</v>
      </c>
      <c r="K78" s="46">
        <f t="array" aca="1" ref="K78:K92" ca="1">INDIRECT("'"&amp;K$77&amp;"'!P5:P19")</f>
        <v>0</v>
      </c>
      <c r="L78" s="46">
        <f t="array" aca="1" ref="L78:L92" ca="1">INDIRECT("'"&amp;L$77&amp;"'!P5:P19")</f>
        <v>0</v>
      </c>
      <c r="M78" s="47">
        <f t="shared" ref="M78:M92" ca="1" si="4">SUM(C78:L78)</f>
        <v>0</v>
      </c>
      <c r="N78" s="10"/>
    </row>
    <row r="79" spans="1:14" x14ac:dyDescent="0.25">
      <c r="A79" s="10"/>
      <c r="B79" s="38" t="s">
        <v>27</v>
      </c>
      <c r="C79" s="48">
        <f ca="1"/>
        <v>8000</v>
      </c>
      <c r="D79" s="48">
        <f ca="1"/>
        <v>2000</v>
      </c>
      <c r="E79" s="48">
        <f ca="1"/>
        <v>12000</v>
      </c>
      <c r="F79" s="48">
        <f ca="1"/>
        <v>6000</v>
      </c>
      <c r="G79" s="48">
        <f ca="1"/>
        <v>2000</v>
      </c>
      <c r="H79" s="48">
        <f ca="1"/>
        <v>0</v>
      </c>
      <c r="I79" s="48">
        <f ca="1"/>
        <v>6000</v>
      </c>
      <c r="J79" s="48">
        <f ca="1"/>
        <v>4000</v>
      </c>
      <c r="K79" s="48">
        <f ca="1"/>
        <v>14000</v>
      </c>
      <c r="L79" s="48">
        <f ca="1"/>
        <v>12000</v>
      </c>
      <c r="M79" s="49">
        <f t="shared" ca="1" si="4"/>
        <v>66000</v>
      </c>
      <c r="N79" s="10"/>
    </row>
    <row r="80" spans="1:14" x14ac:dyDescent="0.25">
      <c r="A80" s="10"/>
      <c r="B80" s="38" t="s">
        <v>28</v>
      </c>
      <c r="C80" s="48">
        <f ca="1"/>
        <v>9000</v>
      </c>
      <c r="D80" s="48">
        <f ca="1"/>
        <v>6000</v>
      </c>
      <c r="E80" s="48">
        <f ca="1"/>
        <v>12000</v>
      </c>
      <c r="F80" s="48">
        <f ca="1"/>
        <v>3000</v>
      </c>
      <c r="G80" s="48">
        <f ca="1"/>
        <v>5000</v>
      </c>
      <c r="H80" s="48">
        <f ca="1"/>
        <v>0</v>
      </c>
      <c r="I80" s="48">
        <f ca="1"/>
        <v>9000</v>
      </c>
      <c r="J80" s="48">
        <f ca="1"/>
        <v>2000</v>
      </c>
      <c r="K80" s="48">
        <f ca="1"/>
        <v>8000</v>
      </c>
      <c r="L80" s="48">
        <f ca="1"/>
        <v>6000</v>
      </c>
      <c r="M80" s="49">
        <f t="shared" ca="1" si="4"/>
        <v>60000</v>
      </c>
      <c r="N80" s="10"/>
    </row>
    <row r="81" spans="1:14" x14ac:dyDescent="0.25">
      <c r="A81" s="10"/>
      <c r="B81" s="38" t="s">
        <v>29</v>
      </c>
      <c r="C81" s="48">
        <f ca="1"/>
        <v>10000</v>
      </c>
      <c r="D81" s="48">
        <f ca="1"/>
        <v>9000</v>
      </c>
      <c r="E81" s="48">
        <f ca="1"/>
        <v>4000</v>
      </c>
      <c r="F81" s="48">
        <f ca="1"/>
        <v>5000</v>
      </c>
      <c r="G81" s="48">
        <f ca="1"/>
        <v>12000</v>
      </c>
      <c r="H81" s="48">
        <f ca="1"/>
        <v>0</v>
      </c>
      <c r="I81" s="48">
        <f ca="1"/>
        <v>8000</v>
      </c>
      <c r="J81" s="48">
        <f ca="1"/>
        <v>11000</v>
      </c>
      <c r="K81" s="48">
        <f ca="1"/>
        <v>13000</v>
      </c>
      <c r="L81" s="48">
        <f ca="1"/>
        <v>13000</v>
      </c>
      <c r="M81" s="49">
        <f t="shared" ca="1" si="4"/>
        <v>85000</v>
      </c>
      <c r="N81" s="10"/>
    </row>
    <row r="82" spans="1:14" x14ac:dyDescent="0.25">
      <c r="A82" s="10"/>
      <c r="B82" s="38" t="s">
        <v>30</v>
      </c>
      <c r="C82" s="48">
        <f ca="1"/>
        <v>10000</v>
      </c>
      <c r="D82" s="48">
        <f ca="1"/>
        <v>15000</v>
      </c>
      <c r="E82" s="48">
        <f ca="1"/>
        <v>15000</v>
      </c>
      <c r="F82" s="48">
        <f ca="1"/>
        <v>12000</v>
      </c>
      <c r="G82" s="48">
        <f ca="1"/>
        <v>10000</v>
      </c>
      <c r="H82" s="48">
        <f ca="1"/>
        <v>0</v>
      </c>
      <c r="I82" s="48">
        <f ca="1"/>
        <v>15000</v>
      </c>
      <c r="J82" s="48">
        <f ca="1"/>
        <v>3000</v>
      </c>
      <c r="K82" s="48">
        <f ca="1"/>
        <v>3000</v>
      </c>
      <c r="L82" s="48">
        <f ca="1"/>
        <v>11000</v>
      </c>
      <c r="M82" s="49">
        <f t="shared" ca="1" si="4"/>
        <v>94000</v>
      </c>
      <c r="N82" s="10"/>
    </row>
    <row r="83" spans="1:14" x14ac:dyDescent="0.25">
      <c r="A83" s="10"/>
      <c r="B83" s="38" t="s">
        <v>31</v>
      </c>
      <c r="C83" s="48">
        <f ca="1"/>
        <v>3000</v>
      </c>
      <c r="D83" s="48">
        <f ca="1"/>
        <v>7000</v>
      </c>
      <c r="E83" s="48">
        <f ca="1"/>
        <v>7000</v>
      </c>
      <c r="F83" s="48">
        <f ca="1"/>
        <v>6000</v>
      </c>
      <c r="G83" s="48">
        <f ca="1"/>
        <v>8000</v>
      </c>
      <c r="H83" s="48">
        <f ca="1"/>
        <v>0</v>
      </c>
      <c r="I83" s="48">
        <f ca="1"/>
        <v>9000</v>
      </c>
      <c r="J83" s="48">
        <f ca="1"/>
        <v>2000</v>
      </c>
      <c r="K83" s="48">
        <f ca="1"/>
        <v>3000</v>
      </c>
      <c r="L83" s="48">
        <f ca="1"/>
        <v>4000</v>
      </c>
      <c r="M83" s="49">
        <f t="shared" ca="1" si="4"/>
        <v>49000</v>
      </c>
      <c r="N83" s="10"/>
    </row>
    <row r="84" spans="1:14" x14ac:dyDescent="0.25">
      <c r="A84" s="10"/>
      <c r="B84" s="38" t="s">
        <v>32</v>
      </c>
      <c r="C84" s="48">
        <f ca="1"/>
        <v>9000</v>
      </c>
      <c r="D84" s="48">
        <f ca="1"/>
        <v>7000</v>
      </c>
      <c r="E84" s="48">
        <f ca="1"/>
        <v>11000</v>
      </c>
      <c r="F84" s="48">
        <f ca="1"/>
        <v>2000</v>
      </c>
      <c r="G84" s="48">
        <f ca="1"/>
        <v>12000</v>
      </c>
      <c r="H84" s="48">
        <f ca="1"/>
        <v>0</v>
      </c>
      <c r="I84" s="48">
        <f ca="1"/>
        <v>14000</v>
      </c>
      <c r="J84" s="48">
        <f ca="1"/>
        <v>7000</v>
      </c>
      <c r="K84" s="48">
        <f ca="1"/>
        <v>4000</v>
      </c>
      <c r="L84" s="48">
        <f ca="1"/>
        <v>15000</v>
      </c>
      <c r="M84" s="49">
        <f t="shared" ca="1" si="4"/>
        <v>81000</v>
      </c>
      <c r="N84" s="10"/>
    </row>
    <row r="85" spans="1:14" x14ac:dyDescent="0.25">
      <c r="A85" s="10"/>
      <c r="B85" s="38" t="s">
        <v>33</v>
      </c>
      <c r="C85" s="48">
        <f ca="1"/>
        <v>12000</v>
      </c>
      <c r="D85" s="48">
        <f ca="1"/>
        <v>12000</v>
      </c>
      <c r="E85" s="48">
        <f ca="1"/>
        <v>11000</v>
      </c>
      <c r="F85" s="48">
        <f ca="1"/>
        <v>11000</v>
      </c>
      <c r="G85" s="48">
        <f ca="1"/>
        <v>11000</v>
      </c>
      <c r="H85" s="48">
        <f ca="1"/>
        <v>0</v>
      </c>
      <c r="I85" s="48">
        <f ca="1"/>
        <v>13000</v>
      </c>
      <c r="J85" s="48">
        <f ca="1"/>
        <v>13000</v>
      </c>
      <c r="K85" s="48">
        <f ca="1"/>
        <v>14000</v>
      </c>
      <c r="L85" s="48">
        <f ca="1"/>
        <v>15000</v>
      </c>
      <c r="M85" s="49">
        <f t="shared" ca="1" si="4"/>
        <v>112000</v>
      </c>
      <c r="N85" s="10"/>
    </row>
    <row r="86" spans="1:14" x14ac:dyDescent="0.25">
      <c r="A86" s="10"/>
      <c r="B86" s="38" t="s">
        <v>34</v>
      </c>
      <c r="C86" s="48">
        <f ca="1"/>
        <v>12000</v>
      </c>
      <c r="D86" s="48">
        <f ca="1"/>
        <v>10000</v>
      </c>
      <c r="E86" s="48">
        <f ca="1"/>
        <v>13000</v>
      </c>
      <c r="F86" s="48">
        <f ca="1"/>
        <v>15000</v>
      </c>
      <c r="G86" s="48">
        <f ca="1"/>
        <v>14000</v>
      </c>
      <c r="H86" s="48">
        <f ca="1"/>
        <v>0</v>
      </c>
      <c r="I86" s="48">
        <f ca="1"/>
        <v>12000</v>
      </c>
      <c r="J86" s="48">
        <f ca="1"/>
        <v>14000</v>
      </c>
      <c r="K86" s="48">
        <f ca="1"/>
        <v>8000</v>
      </c>
      <c r="L86" s="48">
        <f ca="1"/>
        <v>15000</v>
      </c>
      <c r="M86" s="49">
        <f t="shared" ca="1" si="4"/>
        <v>113000</v>
      </c>
      <c r="N86" s="10"/>
    </row>
    <row r="87" spans="1:14" x14ac:dyDescent="0.25">
      <c r="A87" s="10"/>
      <c r="B87" s="38" t="s">
        <v>35</v>
      </c>
      <c r="C87" s="48">
        <f ca="1"/>
        <v>12000</v>
      </c>
      <c r="D87" s="48">
        <f ca="1"/>
        <v>13000</v>
      </c>
      <c r="E87" s="48">
        <f ca="1"/>
        <v>12000</v>
      </c>
      <c r="F87" s="48">
        <f ca="1"/>
        <v>9000</v>
      </c>
      <c r="G87" s="48">
        <f ca="1"/>
        <v>3000</v>
      </c>
      <c r="H87" s="48">
        <f ca="1"/>
        <v>0</v>
      </c>
      <c r="I87" s="48">
        <f ca="1"/>
        <v>5000</v>
      </c>
      <c r="J87" s="48">
        <f ca="1"/>
        <v>6000</v>
      </c>
      <c r="K87" s="48">
        <f ca="1"/>
        <v>13000</v>
      </c>
      <c r="L87" s="48">
        <f ca="1"/>
        <v>8000</v>
      </c>
      <c r="M87" s="49">
        <f t="shared" ca="1" si="4"/>
        <v>81000</v>
      </c>
      <c r="N87" s="10"/>
    </row>
    <row r="88" spans="1:14" x14ac:dyDescent="0.25">
      <c r="A88" s="10"/>
      <c r="B88" s="38" t="s">
        <v>36</v>
      </c>
      <c r="C88" s="48">
        <f ca="1"/>
        <v>13000</v>
      </c>
      <c r="D88" s="48">
        <f ca="1"/>
        <v>6000</v>
      </c>
      <c r="E88" s="48">
        <f ca="1"/>
        <v>6000</v>
      </c>
      <c r="F88" s="48">
        <f ca="1"/>
        <v>9000</v>
      </c>
      <c r="G88" s="48">
        <f ca="1"/>
        <v>9000</v>
      </c>
      <c r="H88" s="48">
        <f ca="1"/>
        <v>0</v>
      </c>
      <c r="I88" s="48">
        <f ca="1"/>
        <v>7000</v>
      </c>
      <c r="J88" s="48">
        <f ca="1"/>
        <v>7000</v>
      </c>
      <c r="K88" s="48">
        <f ca="1"/>
        <v>8000</v>
      </c>
      <c r="L88" s="48">
        <f ca="1"/>
        <v>8000</v>
      </c>
      <c r="M88" s="49">
        <f t="shared" ca="1" si="4"/>
        <v>73000</v>
      </c>
      <c r="N88" s="10"/>
    </row>
    <row r="89" spans="1:14" x14ac:dyDescent="0.25">
      <c r="A89" s="10"/>
      <c r="B89" s="38" t="s">
        <v>37</v>
      </c>
      <c r="C89" s="48">
        <f ca="1"/>
        <v>5000</v>
      </c>
      <c r="D89" s="48">
        <f ca="1"/>
        <v>5000</v>
      </c>
      <c r="E89" s="48">
        <f ca="1"/>
        <v>4000</v>
      </c>
      <c r="F89" s="48">
        <f ca="1"/>
        <v>13000</v>
      </c>
      <c r="G89" s="48">
        <f ca="1"/>
        <v>11000</v>
      </c>
      <c r="H89" s="48">
        <f ca="1"/>
        <v>0</v>
      </c>
      <c r="I89" s="48">
        <f ca="1"/>
        <v>2000</v>
      </c>
      <c r="J89" s="48">
        <f ca="1"/>
        <v>3000</v>
      </c>
      <c r="K89" s="48">
        <f ca="1"/>
        <v>3000</v>
      </c>
      <c r="L89" s="48">
        <f ca="1"/>
        <v>7000</v>
      </c>
      <c r="M89" s="49">
        <f t="shared" ca="1" si="4"/>
        <v>53000</v>
      </c>
      <c r="N89" s="10"/>
    </row>
    <row r="90" spans="1:14" x14ac:dyDescent="0.25">
      <c r="A90" s="10"/>
      <c r="B90" s="38" t="s">
        <v>38</v>
      </c>
      <c r="C90" s="48">
        <f ca="1"/>
        <v>5000</v>
      </c>
      <c r="D90" s="48">
        <f ca="1"/>
        <v>8000</v>
      </c>
      <c r="E90" s="48">
        <f ca="1"/>
        <v>13000</v>
      </c>
      <c r="F90" s="48">
        <f ca="1"/>
        <v>7000</v>
      </c>
      <c r="G90" s="48">
        <f ca="1"/>
        <v>12000</v>
      </c>
      <c r="H90" s="48">
        <f ca="1"/>
        <v>0</v>
      </c>
      <c r="I90" s="48">
        <f ca="1"/>
        <v>10000</v>
      </c>
      <c r="J90" s="48">
        <f ca="1"/>
        <v>4000</v>
      </c>
      <c r="K90" s="48">
        <f ca="1"/>
        <v>3000</v>
      </c>
      <c r="L90" s="48">
        <f ca="1"/>
        <v>14000</v>
      </c>
      <c r="M90" s="49">
        <f t="shared" ca="1" si="4"/>
        <v>76000</v>
      </c>
      <c r="N90" s="10"/>
    </row>
    <row r="91" spans="1:14" x14ac:dyDescent="0.25">
      <c r="A91" s="10"/>
      <c r="B91" s="38" t="s">
        <v>39</v>
      </c>
      <c r="C91" s="48">
        <f ca="1"/>
        <v>6000</v>
      </c>
      <c r="D91" s="48">
        <f ca="1"/>
        <v>11000</v>
      </c>
      <c r="E91" s="48">
        <f ca="1"/>
        <v>9000</v>
      </c>
      <c r="F91" s="48">
        <f ca="1"/>
        <v>9000</v>
      </c>
      <c r="G91" s="48">
        <f ca="1"/>
        <v>15000</v>
      </c>
      <c r="H91" s="48">
        <f ca="1"/>
        <v>0</v>
      </c>
      <c r="I91" s="48">
        <f ca="1"/>
        <v>11000</v>
      </c>
      <c r="J91" s="48">
        <f ca="1"/>
        <v>3000</v>
      </c>
      <c r="K91" s="48">
        <f ca="1"/>
        <v>10000</v>
      </c>
      <c r="L91" s="48">
        <f ca="1"/>
        <v>14000</v>
      </c>
      <c r="M91" s="49">
        <f t="shared" ca="1" si="4"/>
        <v>88000</v>
      </c>
      <c r="N91" s="10"/>
    </row>
    <row r="92" spans="1:14" x14ac:dyDescent="0.25">
      <c r="A92" s="10"/>
      <c r="B92" s="40" t="s">
        <v>40</v>
      </c>
      <c r="C92" s="50">
        <f ca="1"/>
        <v>8000</v>
      </c>
      <c r="D92" s="50">
        <f ca="1"/>
        <v>12000</v>
      </c>
      <c r="E92" s="50">
        <f ca="1"/>
        <v>2000</v>
      </c>
      <c r="F92" s="50">
        <f ca="1"/>
        <v>5000</v>
      </c>
      <c r="G92" s="50">
        <f ca="1"/>
        <v>12000</v>
      </c>
      <c r="H92" s="50">
        <f ca="1"/>
        <v>0</v>
      </c>
      <c r="I92" s="50">
        <f ca="1"/>
        <v>9000</v>
      </c>
      <c r="J92" s="50">
        <f ca="1"/>
        <v>10000</v>
      </c>
      <c r="K92" s="50">
        <f ca="1"/>
        <v>5000</v>
      </c>
      <c r="L92" s="50">
        <f ca="1"/>
        <v>11000</v>
      </c>
      <c r="M92" s="51">
        <f t="shared" ca="1" si="4"/>
        <v>74000</v>
      </c>
      <c r="N92" s="10"/>
    </row>
    <row r="93" spans="1:14" ht="15.75" thickBot="1" x14ac:dyDescent="0.3">
      <c r="A93" s="10"/>
      <c r="B93" s="42" t="s">
        <v>51</v>
      </c>
      <c r="C93" s="43">
        <f t="shared" ref="C93:M93" ca="1" si="5">SUM(C78:C92)</f>
        <v>122000</v>
      </c>
      <c r="D93" s="43">
        <f t="shared" ca="1" si="5"/>
        <v>123000</v>
      </c>
      <c r="E93" s="43">
        <f t="shared" ca="1" si="5"/>
        <v>131000</v>
      </c>
      <c r="F93" s="43">
        <f t="shared" ca="1" si="5"/>
        <v>112000</v>
      </c>
      <c r="G93" s="43">
        <f t="shared" ca="1" si="5"/>
        <v>136000</v>
      </c>
      <c r="H93" s="43">
        <f t="shared" ca="1" si="5"/>
        <v>0</v>
      </c>
      <c r="I93" s="43">
        <f t="shared" ca="1" si="5"/>
        <v>130000</v>
      </c>
      <c r="J93" s="43">
        <f t="shared" ca="1" si="5"/>
        <v>89000</v>
      </c>
      <c r="K93" s="43">
        <f t="shared" ca="1" si="5"/>
        <v>109000</v>
      </c>
      <c r="L93" s="43">
        <f t="shared" ca="1" si="5"/>
        <v>153000</v>
      </c>
      <c r="M93" s="44">
        <f t="shared" ca="1" si="5"/>
        <v>1105000</v>
      </c>
      <c r="N93" s="10"/>
    </row>
    <row r="94" spans="1:14" x14ac:dyDescent="0.25">
      <c r="A94" s="10"/>
      <c r="B94" s="11"/>
      <c r="C94" s="10"/>
      <c r="D94" s="10"/>
      <c r="E94" s="10"/>
      <c r="F94" s="10"/>
      <c r="G94" s="10"/>
      <c r="H94" s="10"/>
      <c r="I94" s="10"/>
      <c r="J94" s="10"/>
      <c r="K94" s="10"/>
      <c r="L94" s="10"/>
      <c r="M94" s="10"/>
      <c r="N94" s="10"/>
    </row>
    <row r="95" spans="1:14" hidden="1" x14ac:dyDescent="0.25"/>
    <row r="96" spans="1:14" hidden="1" x14ac:dyDescent="0.25"/>
    <row r="97" hidden="1" x14ac:dyDescent="0.25"/>
    <row r="98" hidden="1" x14ac:dyDescent="0.25"/>
    <row r="99" hidden="1" x14ac:dyDescent="0.25"/>
    <row r="100" hidden="1" x14ac:dyDescent="0.25"/>
    <row r="101" hidden="1" x14ac:dyDescent="0.25"/>
  </sheetData>
  <sheetProtection algorithmName="SHA-512" hashValue="M+cmktc5wGbjcdRk2p0tsgcur/Ci+Mmw45KwyabJXShQ/MDlnbP3yUumHzqqmcJdDMKejqfrBYArrkoKDBQ6+Q==" saltValue="MBD94KBzNozdSBKEADTwBA==" spinCount="100000" sheet="1" objects="1" scenarios="1"/>
  <mergeCells count="14">
    <mergeCell ref="B75:J75"/>
    <mergeCell ref="B53:J53"/>
    <mergeCell ref="B31:J31"/>
    <mergeCell ref="C13:F13"/>
    <mergeCell ref="C9:D9"/>
    <mergeCell ref="C25:D25"/>
    <mergeCell ref="C26:D26"/>
    <mergeCell ref="C22:F22"/>
    <mergeCell ref="C23:F23"/>
    <mergeCell ref="C15:F15"/>
    <mergeCell ref="C16:F16"/>
    <mergeCell ref="C17:F17"/>
    <mergeCell ref="C11:F11"/>
    <mergeCell ref="C12:F12"/>
  </mergeCells>
  <dataValidations count="1">
    <dataValidation type="list" allowBlank="1" showInputMessage="1" showErrorMessage="1" sqref="L4" xr:uid="{E8ED036B-6BE4-498A-B507-D93B72386973}">
      <formula1>"A,B,C,D,E,F,G,H,I,J,K,L,M,N,O,P,Q,R,S,T,U,V,W,X,Y,Z"</formula1>
    </dataValidation>
  </dataValidations>
  <hyperlinks>
    <hyperlink ref="C17" r:id="rId1" xr:uid="{03D91F1F-E824-4030-9101-AB267659FBEF}"/>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69178-D0BB-49B3-978B-D438F140B370}">
  <sheetPr codeName="Sheet4"/>
  <dimension ref="A1:V36"/>
  <sheetViews>
    <sheetView showGridLines="0" tabSelected="1" workbookViewId="0">
      <selection activeCell="B5" sqref="B5"/>
    </sheetView>
  </sheetViews>
  <sheetFormatPr defaultColWidth="0" defaultRowHeight="15" zeroHeight="1" x14ac:dyDescent="0.25"/>
  <cols>
    <col min="1" max="1" width="2.85546875" style="12" customWidth="1"/>
    <col min="2" max="2" width="13.28515625" style="12" customWidth="1"/>
    <col min="3" max="3" width="47.7109375" style="12" customWidth="1"/>
    <col min="4" max="4" width="9.140625" style="12" customWidth="1"/>
    <col min="5" max="5" width="21.85546875" style="12" bestFit="1" customWidth="1"/>
    <col min="6" max="6" width="11.5703125" style="12" customWidth="1"/>
    <col min="7" max="7" width="2.85546875" style="12" customWidth="1"/>
    <col min="8" max="16384" width="9.140625" style="12" hidden="1"/>
  </cols>
  <sheetData>
    <row r="1" spans="2:22" x14ac:dyDescent="0.25"/>
    <row r="2" spans="2:22" ht="21" x14ac:dyDescent="0.35">
      <c r="B2" s="60" t="s">
        <v>125</v>
      </c>
      <c r="D2" s="237" t="str" cm="1">
        <f t="array" ref="D2">TEXT(InvoiceMonth, "mmmm yyyy")&amp;", Edition "&amp;setup!$L$4</f>
        <v>October 2019, Edition A</v>
      </c>
      <c r="E2" s="237"/>
      <c r="F2" s="237"/>
    </row>
    <row r="3" spans="2:22" x14ac:dyDescent="0.25"/>
    <row r="4" spans="2:22" x14ac:dyDescent="0.25">
      <c r="B4" s="90" t="s">
        <v>126</v>
      </c>
      <c r="F4" s="196" t="s">
        <v>157</v>
      </c>
      <c r="K4" s="197">
        <f t="array" ref="K4:V4">luDates</f>
        <v>43739</v>
      </c>
      <c r="L4" s="197">
        <v>43770</v>
      </c>
      <c r="M4" s="197">
        <v>43800</v>
      </c>
      <c r="N4" s="197">
        <v>43831</v>
      </c>
      <c r="O4" s="197">
        <v>43862</v>
      </c>
      <c r="P4" s="197">
        <v>43891</v>
      </c>
      <c r="Q4" s="197">
        <v>43922</v>
      </c>
      <c r="R4" s="197">
        <v>43952</v>
      </c>
      <c r="S4" s="197">
        <v>43983</v>
      </c>
      <c r="T4" s="197">
        <v>44013</v>
      </c>
      <c r="U4" s="197">
        <v>44044</v>
      </c>
      <c r="V4" s="197">
        <v>44075</v>
      </c>
    </row>
    <row r="5" spans="2:22" x14ac:dyDescent="0.25">
      <c r="B5" s="188" t="s">
        <v>0</v>
      </c>
      <c r="C5" s="198" t="str">
        <f>IFERROR(IF(FFY&gt;0,"invoice covers Oct 1, "&amp;(FFY-1)&amp;" thru Sept 30, "&amp;FFY,""),"enter a valid FFY")</f>
        <v>invoice covers Oct 1, 2019 thru Sept 30, 2020</v>
      </c>
      <c r="E5" s="137" t="str">
        <f>"Contract "&amp;CurrentContractNumber</f>
        <v>Contract FY20-12345</v>
      </c>
      <c r="F5" s="202" t="s">
        <v>122</v>
      </c>
      <c r="J5" s="12" t="str">
        <f t="array" ref="J5:J14">INDEX(Domains,,2)</f>
        <v>EMP</v>
      </c>
      <c r="K5" s="112" t="e">
        <f>IF(EMP!C41=0,NA(),EMP!C41)</f>
        <v>#N/A</v>
      </c>
      <c r="L5" s="112" t="e">
        <f>IF(EMP!D41=0,NA(),EMP!D41)</f>
        <v>#N/A</v>
      </c>
      <c r="M5" s="112" t="e">
        <f>IF(EMP!E41=0,NA(),EMP!E41)</f>
        <v>#N/A</v>
      </c>
      <c r="N5" s="112" t="e">
        <f>IF(EMP!F41=0,NA(),EMP!F41)</f>
        <v>#N/A</v>
      </c>
      <c r="O5" s="112" t="e">
        <f>IF(EMP!G41=0,NA(),EMP!G41)</f>
        <v>#N/A</v>
      </c>
      <c r="P5" s="112" t="e">
        <f>IF(EMP!H41=0,NA(),EMP!H41)</f>
        <v>#N/A</v>
      </c>
      <c r="Q5" s="112" t="e">
        <f>IF(EMP!I41=0,NA(),EMP!I41)</f>
        <v>#N/A</v>
      </c>
      <c r="R5" s="112" t="e">
        <f>IF(EMP!J41=0,NA(),EMP!J41)</f>
        <v>#N/A</v>
      </c>
      <c r="S5" s="112" t="e">
        <f>IF(EMP!K41=0,NA(),EMP!K41)</f>
        <v>#N/A</v>
      </c>
      <c r="T5" s="112" t="e">
        <f>IF(EMP!L41=0,NA(),EMP!L41)</f>
        <v>#N/A</v>
      </c>
      <c r="U5" s="112" t="e">
        <f>IF(EMP!M41=0,NA(),EMP!M41)</f>
        <v>#N/A</v>
      </c>
      <c r="V5" s="112" t="e">
        <f>IF(EMP!N41=0,NA(),EMP!N41)</f>
        <v>#N/A</v>
      </c>
    </row>
    <row r="6" spans="2:22" x14ac:dyDescent="0.25">
      <c r="E6" s="137" t="str">
        <f>"Contract "&amp;RolloverContractNumber</f>
        <v>Contract FY19-67890</v>
      </c>
      <c r="F6" s="202">
        <v>43983</v>
      </c>
      <c r="J6" s="12" t="str">
        <v>ED and CD</v>
      </c>
      <c r="K6" s="112" t="e">
        <f>IF('ED and CD'!C41=0,NA(),'ED and CD'!C41)</f>
        <v>#N/A</v>
      </c>
      <c r="L6" s="112" t="e">
        <f>IF('ED and CD'!D41=0,NA(),'ED and CD'!D41)</f>
        <v>#N/A</v>
      </c>
      <c r="M6" s="112" t="e">
        <f>IF('ED and CD'!E41=0,NA(),'ED and CD'!E41)</f>
        <v>#N/A</v>
      </c>
      <c r="N6" s="112" t="e">
        <f>IF('ED and CD'!F41=0,NA(),'ED and CD'!F41)</f>
        <v>#N/A</v>
      </c>
      <c r="O6" s="112" t="e">
        <f>IF('ED and CD'!G41=0,NA(),'ED and CD'!G41)</f>
        <v>#N/A</v>
      </c>
      <c r="P6" s="112" t="e">
        <f>IF('ED and CD'!H41=0,NA(),'ED and CD'!H41)</f>
        <v>#N/A</v>
      </c>
      <c r="Q6" s="112" t="e">
        <f>IF('ED and CD'!I41=0,NA(),'ED and CD'!I41)</f>
        <v>#N/A</v>
      </c>
      <c r="R6" s="112" t="e">
        <f>IF('ED and CD'!J41=0,NA(),'ED and CD'!J41)</f>
        <v>#N/A</v>
      </c>
      <c r="S6" s="112" t="e">
        <f>IF('ED and CD'!K41=0,NA(),'ED and CD'!K41)</f>
        <v>#N/A</v>
      </c>
      <c r="T6" s="112" t="e">
        <f>IF('ED and CD'!L41=0,NA(),'ED and CD'!L41)</f>
        <v>#N/A</v>
      </c>
      <c r="U6" s="112" t="e">
        <f>IF('ED and CD'!M41=0,NA(),'ED and CD'!M41)</f>
        <v>#N/A</v>
      </c>
      <c r="V6" s="112" t="e">
        <f>IF('ED and CD'!N41=0,NA(),'ED and CD'!N41)</f>
        <v>#N/A</v>
      </c>
    </row>
    <row r="7" spans="2:22" x14ac:dyDescent="0.25">
      <c r="J7" s="12" t="str">
        <v>II and AB</v>
      </c>
      <c r="K7" s="112" t="e">
        <f>IF('II and AB'!C41=0,NA(),'II and AB'!C41)</f>
        <v>#N/A</v>
      </c>
      <c r="L7" s="112" t="e">
        <f>IF('II and AB'!D41=0,NA(),'II and AB'!D41)</f>
        <v>#N/A</v>
      </c>
      <c r="M7" s="112" t="e">
        <f>IF('II and AB'!E41=0,NA(),'II and AB'!E41)</f>
        <v>#N/A</v>
      </c>
      <c r="N7" s="112" t="e">
        <f>IF('II and AB'!F41=0,NA(),'II and AB'!F41)</f>
        <v>#N/A</v>
      </c>
      <c r="O7" s="112" t="e">
        <f>IF('II and AB'!G41=0,NA(),'II and AB'!G41)</f>
        <v>#N/A</v>
      </c>
      <c r="P7" s="112" t="e">
        <f>IF('II and AB'!H41=0,NA(),'II and AB'!H41)</f>
        <v>#N/A</v>
      </c>
      <c r="Q7" s="112" t="e">
        <f>IF('II and AB'!I41=0,NA(),'II and AB'!I41)</f>
        <v>#N/A</v>
      </c>
      <c r="R7" s="112" t="e">
        <f>IF('II and AB'!J41=0,NA(),'II and AB'!J41)</f>
        <v>#N/A</v>
      </c>
      <c r="S7" s="112" t="e">
        <f>IF('II and AB'!K41=0,NA(),'II and AB'!K41)</f>
        <v>#N/A</v>
      </c>
      <c r="T7" s="112" t="e">
        <f>IF('II and AB'!L41=0,NA(),'II and AB'!L41)</f>
        <v>#N/A</v>
      </c>
      <c r="U7" s="112" t="e">
        <f>IF('II and AB'!M41=0,NA(),'II and AB'!M41)</f>
        <v>#N/A</v>
      </c>
      <c r="V7" s="112" t="e">
        <f>IF('II and AB'!N41=0,NA(),'II and AB'!N41)</f>
        <v>#N/A</v>
      </c>
    </row>
    <row r="8" spans="2:22" x14ac:dyDescent="0.25">
      <c r="B8" s="12" t="str">
        <f>"Has there been a budget modification entered for "&amp;TEXT(InvoiceMonth,"mmmm yyyy")&amp;"?"</f>
        <v>Has there been a budget modification entered for October 2019?</v>
      </c>
      <c r="D8" s="199" t="str">
        <f>IF(INDEX(lookup!$F$6:$Q$6,IndexMonth),"YES","NO")</f>
        <v>NO</v>
      </c>
      <c r="J8" s="12" t="str">
        <v>Housing</v>
      </c>
      <c r="K8" s="112" t="e">
        <f>IF(Housing!C41=0,NA(),Housing!C41)</f>
        <v>#N/A</v>
      </c>
      <c r="L8" s="112" t="e">
        <f>IF(Housing!D41=0,NA(),Housing!D41)</f>
        <v>#N/A</v>
      </c>
      <c r="M8" s="112" t="e">
        <f>IF(Housing!E41=0,NA(),Housing!E41)</f>
        <v>#N/A</v>
      </c>
      <c r="N8" s="112" t="e">
        <f>IF(Housing!F41=0,NA(),Housing!F41)</f>
        <v>#N/A</v>
      </c>
      <c r="O8" s="112" t="e">
        <f>IF(Housing!G41=0,NA(),Housing!G41)</f>
        <v>#N/A</v>
      </c>
      <c r="P8" s="112" t="e">
        <f>IF(Housing!H41=0,NA(),Housing!H41)</f>
        <v>#N/A</v>
      </c>
      <c r="Q8" s="112" t="e">
        <f>IF(Housing!I41=0,NA(),Housing!I41)</f>
        <v>#N/A</v>
      </c>
      <c r="R8" s="112" t="e">
        <f>IF(Housing!J41=0,NA(),Housing!J41)</f>
        <v>#N/A</v>
      </c>
      <c r="S8" s="112" t="e">
        <f>IF(Housing!K41=0,NA(),Housing!K41)</f>
        <v>#N/A</v>
      </c>
      <c r="T8" s="112" t="e">
        <f>IF(Housing!L41=0,NA(),Housing!L41)</f>
        <v>#N/A</v>
      </c>
      <c r="U8" s="112" t="e">
        <f>IF(Housing!M41=0,NA(),Housing!M41)</f>
        <v>#N/A</v>
      </c>
      <c r="V8" s="112" t="e">
        <f>IF(Housing!N41=0,NA(),Housing!N41)</f>
        <v>#N/A</v>
      </c>
    </row>
    <row r="9" spans="2:22" x14ac:dyDescent="0.25">
      <c r="B9" s="12" t="s">
        <v>158</v>
      </c>
      <c r="D9" s="200">
        <f>SUM(lookup!$F$6:INDEX(lookup!$F$6:$Q$6,IndexMonth))</f>
        <v>0</v>
      </c>
      <c r="J9" s="12" t="str">
        <v>H and S BD</v>
      </c>
      <c r="K9" s="112" t="e">
        <f>IF('H and S BD'!C41=0,NA(),'H and S BD'!C41)</f>
        <v>#N/A</v>
      </c>
      <c r="L9" s="112" t="e">
        <f>IF('H and S BD'!D41=0,NA(),'H and S BD'!D41)</f>
        <v>#N/A</v>
      </c>
      <c r="M9" s="112" t="e">
        <f>IF('H and S BD'!E41=0,NA(),'H and S BD'!E41)</f>
        <v>#N/A</v>
      </c>
      <c r="N9" s="112" t="e">
        <f>IF('H and S BD'!F41=0,NA(),'H and S BD'!F41)</f>
        <v>#N/A</v>
      </c>
      <c r="O9" s="112" t="e">
        <f>IF('H and S BD'!G41=0,NA(),'H and S BD'!G41)</f>
        <v>#N/A</v>
      </c>
      <c r="P9" s="112" t="e">
        <f>IF('H and S BD'!H41=0,NA(),'H and S BD'!H41)</f>
        <v>#N/A</v>
      </c>
      <c r="Q9" s="112" t="e">
        <f>IF('H and S BD'!I41=0,NA(),'H and S BD'!I41)</f>
        <v>#N/A</v>
      </c>
      <c r="R9" s="112" t="e">
        <f>IF('H and S BD'!J41=0,NA(),'H and S BD'!J41)</f>
        <v>#N/A</v>
      </c>
      <c r="S9" s="112" t="e">
        <f>IF('H and S BD'!K41=0,NA(),'H and S BD'!K41)</f>
        <v>#N/A</v>
      </c>
      <c r="T9" s="112" t="e">
        <f>IF('H and S BD'!L41=0,NA(),'H and S BD'!L41)</f>
        <v>#N/A</v>
      </c>
      <c r="U9" s="112" t="e">
        <f>IF('H and S BD'!M41=0,NA(),'H and S BD'!M41)</f>
        <v>#N/A</v>
      </c>
      <c r="V9" s="112" t="e">
        <f>IF('H and S BD'!N41=0,NA(),'H and S BD'!N41)</f>
        <v>#N/A</v>
      </c>
    </row>
    <row r="10" spans="2:22" x14ac:dyDescent="0.25">
      <c r="J10" s="12" t="str">
        <v>CE and CI</v>
      </c>
      <c r="K10" s="238" t="e">
        <f>IF('CE and CI'!C41=0,NA(),'CE and CI'!C41)</f>
        <v>#N/A</v>
      </c>
      <c r="L10" s="238" t="e">
        <f>IF('CE and CI'!D41=0,NA(),'CE and CI'!D41)</f>
        <v>#N/A</v>
      </c>
      <c r="M10" s="238" t="e">
        <f>IF('CE and CI'!E41=0,NA(),'CE and CI'!E41)</f>
        <v>#N/A</v>
      </c>
      <c r="N10" s="238" t="e">
        <f>IF('CE and CI'!F41=0,NA(),'CE and CI'!F41)</f>
        <v>#N/A</v>
      </c>
      <c r="O10" s="238" t="e">
        <f>IF('CE and CI'!G41=0,NA(),'CE and CI'!G41)</f>
        <v>#N/A</v>
      </c>
      <c r="P10" s="238" t="e">
        <f>IF('CE and CI'!H41=0,NA(),'CE and CI'!H41)</f>
        <v>#N/A</v>
      </c>
      <c r="Q10" s="238" t="e">
        <f>IF('CE and CI'!I41=0,NA(),'CE and CI'!I41)</f>
        <v>#N/A</v>
      </c>
      <c r="R10" s="238" t="e">
        <f>IF('CE and CI'!J41=0,NA(),'CE and CI'!J41)</f>
        <v>#N/A</v>
      </c>
      <c r="S10" s="238" t="e">
        <f>IF('CE and CI'!K41=0,NA(),'CE and CI'!K41)</f>
        <v>#N/A</v>
      </c>
      <c r="T10" s="238" t="e">
        <f>IF('CE and CI'!L41=0,NA(),'CE and CI'!L41)</f>
        <v>#N/A</v>
      </c>
      <c r="U10" s="238" t="e">
        <f>IF('CE and CI'!M41=0,NA(),'CE and CI'!M41)</f>
        <v>#N/A</v>
      </c>
      <c r="V10" s="238" t="e">
        <f>IF('CE and CI'!N41=0,NA(),'CE and CI'!N41)</f>
        <v>#N/A</v>
      </c>
    </row>
    <row r="11" spans="2:22" x14ac:dyDescent="0.25">
      <c r="J11" s="12" t="str">
        <v>SSMD</v>
      </c>
      <c r="K11" s="112" t="e">
        <f>IF(SSMD!C41=0,NA(),SSMD!C41)</f>
        <v>#N/A</v>
      </c>
      <c r="L11" s="112" t="e">
        <f>IF(SSMD!D41=0,NA(),SSMD!D41)</f>
        <v>#N/A</v>
      </c>
      <c r="M11" s="112" t="e">
        <f>IF(SSMD!E41=0,NA(),SSMD!E41)</f>
        <v>#N/A</v>
      </c>
      <c r="N11" s="112" t="e">
        <f>IF(SSMD!F41=0,NA(),SSMD!F41)</f>
        <v>#N/A</v>
      </c>
      <c r="O11" s="112" t="e">
        <f>IF(SSMD!G41=0,NA(),SSMD!G41)</f>
        <v>#N/A</v>
      </c>
      <c r="P11" s="112" t="e">
        <f>IF(SSMD!H41=0,NA(),SSMD!H41)</f>
        <v>#N/A</v>
      </c>
      <c r="Q11" s="112" t="e">
        <f>IF(SSMD!I41=0,NA(),SSMD!I41)</f>
        <v>#N/A</v>
      </c>
      <c r="R11" s="112" t="e">
        <f>IF(SSMD!J41=0,NA(),SSMD!J41)</f>
        <v>#N/A</v>
      </c>
      <c r="S11" s="112" t="e">
        <f>IF(SSMD!K41=0,NA(),SSMD!K41)</f>
        <v>#N/A</v>
      </c>
      <c r="T11" s="112" t="e">
        <f>IF(SSMD!L41=0,NA(),SSMD!L41)</f>
        <v>#N/A</v>
      </c>
      <c r="U11" s="112" t="e">
        <f>IF(SSMD!M41=0,NA(),SSMD!M41)</f>
        <v>#N/A</v>
      </c>
      <c r="V11" s="112" t="e">
        <f>IF(SSMD!N41=0,NA(),SSMD!N41)</f>
        <v>#N/A</v>
      </c>
    </row>
    <row r="12" spans="2:22" x14ac:dyDescent="0.25">
      <c r="J12" s="12" t="str">
        <v>Linkages</v>
      </c>
      <c r="K12" s="112" t="e">
        <f>IF(Linkages!C41=0,NA(),Linkages!C41)</f>
        <v>#N/A</v>
      </c>
      <c r="L12" s="112" t="e">
        <f>IF(Linkages!D41=0,NA(),Linkages!D41)</f>
        <v>#N/A</v>
      </c>
      <c r="M12" s="112" t="e">
        <f>IF(Linkages!E41=0,NA(),Linkages!E41)</f>
        <v>#N/A</v>
      </c>
      <c r="N12" s="112" t="e">
        <f>IF(Linkages!F41=0,NA(),Linkages!F41)</f>
        <v>#N/A</v>
      </c>
      <c r="O12" s="112" t="e">
        <f>IF(Linkages!G41=0,NA(),Linkages!G41)</f>
        <v>#N/A</v>
      </c>
      <c r="P12" s="112" t="e">
        <f>IF(Linkages!H41=0,NA(),Linkages!H41)</f>
        <v>#N/A</v>
      </c>
      <c r="Q12" s="112" t="e">
        <f>IF(Linkages!I41=0,NA(),Linkages!I41)</f>
        <v>#N/A</v>
      </c>
      <c r="R12" s="112" t="e">
        <f>IF(Linkages!J41=0,NA(),Linkages!J41)</f>
        <v>#N/A</v>
      </c>
      <c r="S12" s="112" t="e">
        <f>IF(Linkages!K41=0,NA(),Linkages!K41)</f>
        <v>#N/A</v>
      </c>
      <c r="T12" s="112" t="e">
        <f>IF(Linkages!L41=0,NA(),Linkages!L41)</f>
        <v>#N/A</v>
      </c>
      <c r="U12" s="112" t="e">
        <f>IF(Linkages!M41=0,NA(),Linkages!M41)</f>
        <v>#N/A</v>
      </c>
      <c r="V12" s="112" t="e">
        <f>IF(Linkages!N41=0,NA(),Linkages!N41)</f>
        <v>#N/A</v>
      </c>
    </row>
    <row r="13" spans="2:22" x14ac:dyDescent="0.25">
      <c r="E13" s="137"/>
      <c r="J13" s="12" t="str">
        <v>ACB</v>
      </c>
      <c r="K13" s="112" t="e">
        <f>IF(ACB!C41=0,NA(),ACB!C41)</f>
        <v>#N/A</v>
      </c>
      <c r="L13" s="112" t="e">
        <f>IF(ACB!D41=0,NA(),ACB!D41)</f>
        <v>#N/A</v>
      </c>
      <c r="M13" s="112" t="e">
        <f>IF(ACB!E41=0,NA(),ACB!E41)</f>
        <v>#N/A</v>
      </c>
      <c r="N13" s="112" t="e">
        <f>IF(ACB!F41=0,NA(),ACB!F41)</f>
        <v>#N/A</v>
      </c>
      <c r="O13" s="112" t="e">
        <f>IF(ACB!G41=0,NA(),ACB!G41)</f>
        <v>#N/A</v>
      </c>
      <c r="P13" s="112" t="e">
        <f>IF(ACB!H41=0,NA(),ACB!H41)</f>
        <v>#N/A</v>
      </c>
      <c r="Q13" s="112" t="e">
        <f>IF(ACB!I41=0,NA(),ACB!I41)</f>
        <v>#N/A</v>
      </c>
      <c r="R13" s="112" t="e">
        <f>IF(ACB!J41=0,NA(),ACB!J41)</f>
        <v>#N/A</v>
      </c>
      <c r="S13" s="112" t="e">
        <f>IF(ACB!K41=0,NA(),ACB!K41)</f>
        <v>#N/A</v>
      </c>
      <c r="T13" s="112" t="e">
        <f>IF(ACB!L41=0,NA(),ACB!L41)</f>
        <v>#N/A</v>
      </c>
      <c r="U13" s="112" t="e">
        <f>IF(ACB!M41=0,NA(),ACB!M41)</f>
        <v>#N/A</v>
      </c>
      <c r="V13" s="112" t="e">
        <f>IF(ACB!N41=0,NA(),ACB!N41)</f>
        <v>#N/A</v>
      </c>
    </row>
    <row r="14" spans="2:22" x14ac:dyDescent="0.25">
      <c r="E14" s="137"/>
      <c r="J14" s="12" t="str">
        <v>Other</v>
      </c>
      <c r="K14" s="112" t="e">
        <f>IF(Other!C41=0,NA(),Other!C41)</f>
        <v>#N/A</v>
      </c>
      <c r="L14" s="112" t="e">
        <f>IF(Other!D41=0,NA(),Other!D41)</f>
        <v>#N/A</v>
      </c>
      <c r="M14" s="112" t="e">
        <f>IF(Other!E41=0,NA(),Other!E41)</f>
        <v>#N/A</v>
      </c>
      <c r="N14" s="112" t="e">
        <f>IF(Other!F41=0,NA(),Other!F41)</f>
        <v>#N/A</v>
      </c>
      <c r="O14" s="112" t="e">
        <f>IF(Other!G41=0,NA(),Other!G41)</f>
        <v>#N/A</v>
      </c>
      <c r="P14" s="112" t="e">
        <f>IF(Other!H41=0,NA(),Other!H41)</f>
        <v>#N/A</v>
      </c>
      <c r="Q14" s="112" t="e">
        <f>IF(Other!I41=0,NA(),Other!I41)</f>
        <v>#N/A</v>
      </c>
      <c r="R14" s="112" t="e">
        <f>IF(Other!J41=0,NA(),Other!J41)</f>
        <v>#N/A</v>
      </c>
      <c r="S14" s="112" t="e">
        <f>IF(Other!K41=0,NA(),Other!K41)</f>
        <v>#N/A</v>
      </c>
      <c r="T14" s="112" t="e">
        <f>IF(Other!L41=0,NA(),Other!L41)</f>
        <v>#N/A</v>
      </c>
      <c r="U14" s="112" t="e">
        <f>IF(Other!M41=0,NA(),Other!M41)</f>
        <v>#N/A</v>
      </c>
      <c r="V14" s="112" t="e">
        <f>IF(Other!N41=0,NA(),Other!N41)</f>
        <v>#N/A</v>
      </c>
    </row>
    <row r="15" spans="2:22" x14ac:dyDescent="0.25">
      <c r="J15" s="12" t="s">
        <v>156</v>
      </c>
      <c r="K15" s="112" t="e">
        <f>IF(TACA!C26=0,NA(),TACA!C26)</f>
        <v>#N/A</v>
      </c>
      <c r="L15" s="112" t="e">
        <f>IF(TACA!D26=0,NA(),TACA!D26)</f>
        <v>#N/A</v>
      </c>
      <c r="M15" s="112" t="e">
        <f>IF(TACA!E26=0,NA(),TACA!E26)</f>
        <v>#N/A</v>
      </c>
      <c r="N15" s="112" t="e">
        <f>IF(TACA!F26=0,NA(),TACA!F26)</f>
        <v>#N/A</v>
      </c>
      <c r="O15" s="112" t="e">
        <f>IF(TACA!G26=0,NA(),TACA!G26)</f>
        <v>#N/A</v>
      </c>
      <c r="P15" s="112" t="e">
        <f>IF(TACA!H26=0,NA(),TACA!H26)</f>
        <v>#N/A</v>
      </c>
      <c r="Q15" s="112" t="e">
        <f>IF(TACA!I26=0,NA(),TACA!I26)</f>
        <v>#N/A</v>
      </c>
      <c r="R15" s="112" t="e">
        <f>IF(TACA!J26=0,NA(),TACA!J26)</f>
        <v>#N/A</v>
      </c>
      <c r="S15" s="112" t="e">
        <f>IF(TACA!K26=0,NA(),TACA!K26)</f>
        <v>#N/A</v>
      </c>
      <c r="T15" s="112" t="e">
        <f>IF(TACA!L26=0,NA(),TACA!L26)</f>
        <v>#N/A</v>
      </c>
      <c r="U15" s="112" t="e">
        <f>IF(TACA!M26=0,NA(),TACA!M26)</f>
        <v>#N/A</v>
      </c>
      <c r="V15" s="112" t="e">
        <f>IF(TACA!N26=0,NA(),TACA!N26)</f>
        <v>#N/A</v>
      </c>
    </row>
    <row r="16" spans="2:22" x14ac:dyDescent="0.25"/>
    <row r="17" spans="15:15" x14ac:dyDescent="0.25"/>
    <row r="18" spans="15:15" x14ac:dyDescent="0.25"/>
    <row r="19" spans="15:15" x14ac:dyDescent="0.25"/>
    <row r="20" spans="15:15" x14ac:dyDescent="0.25"/>
    <row r="21" spans="15:15" x14ac:dyDescent="0.25"/>
    <row r="22" spans="15:15" x14ac:dyDescent="0.25"/>
    <row r="23" spans="15:15" x14ac:dyDescent="0.25"/>
    <row r="24" spans="15:15" x14ac:dyDescent="0.25"/>
    <row r="25" spans="15:15" x14ac:dyDescent="0.25"/>
    <row r="26" spans="15:15" x14ac:dyDescent="0.25"/>
    <row r="27" spans="15:15" x14ac:dyDescent="0.25"/>
    <row r="28" spans="15:15" x14ac:dyDescent="0.25">
      <c r="O28" s="201"/>
    </row>
    <row r="29" spans="15:15" x14ac:dyDescent="0.25"/>
    <row r="30" spans="15:15" x14ac:dyDescent="0.25"/>
    <row r="31" spans="15:15" x14ac:dyDescent="0.25"/>
    <row r="32" spans="15:15" x14ac:dyDescent="0.25"/>
    <row r="33" x14ac:dyDescent="0.25"/>
    <row r="34" x14ac:dyDescent="0.25"/>
    <row r="35" x14ac:dyDescent="0.25"/>
    <row r="36" x14ac:dyDescent="0.25"/>
  </sheetData>
  <sheetProtection algorithmName="SHA-512" hashValue="aiT6YOHg8spBbUuBh9Gq2uUpHyM4ag9xbCZIRl16P4tuFHaKXFdfaLVjFrx6LyM2IWm/xQGEmH4FC4niZhNX7w==" saltValue="asnG8sgLWmR6dcyFZ5HV3A==" spinCount="100000" sheet="1" objects="1" scenarios="1"/>
  <dataConsolidate/>
  <mergeCells count="1">
    <mergeCell ref="D2:F2"/>
  </mergeCells>
  <dataValidations count="1">
    <dataValidation type="list" allowBlank="1" showInputMessage="1" showErrorMessage="1" sqref="B5" xr:uid="{45CC06FE-54F4-49E9-9FB1-75CFD5AA1C22}">
      <formula1>luMonths</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C361519-8223-41CE-AB62-F6703D79B332}">
          <x14:formula1>
            <xm:f>lookup!$F$3:$R$3</xm:f>
          </x14:formula1>
          <xm:sqref>F5:F6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F5EE-8E8B-4EC7-B87F-214DE369774E}">
  <sheetPr codeName="Sheet3">
    <tabColor theme="4"/>
  </sheetPr>
  <dimension ref="A1:G89"/>
  <sheetViews>
    <sheetView showGridLines="0" workbookViewId="0">
      <selection activeCell="D63" sqref="D63"/>
    </sheetView>
  </sheetViews>
  <sheetFormatPr defaultColWidth="0" defaultRowHeight="15" zeroHeight="1" x14ac:dyDescent="0.25"/>
  <cols>
    <col min="1" max="1" width="31.42578125" style="12" bestFit="1" customWidth="1"/>
    <col min="2" max="6" width="20" style="12" customWidth="1"/>
    <col min="7" max="7" width="0.140625" style="12" customWidth="1"/>
    <col min="8" max="16384" width="9.140625" style="12" hidden="1"/>
  </cols>
  <sheetData>
    <row r="1" spans="1:6" x14ac:dyDescent="0.25"/>
    <row r="2" spans="1:6" ht="30" customHeight="1" x14ac:dyDescent="0.35">
      <c r="A2" s="58" t="s">
        <v>67</v>
      </c>
      <c r="B2" s="59"/>
      <c r="C2" s="59"/>
      <c r="D2" s="59"/>
      <c r="E2" s="101"/>
      <c r="F2" s="59"/>
    </row>
    <row r="3" spans="1:6" ht="15" customHeight="1" x14ac:dyDescent="0.25"/>
    <row r="4" spans="1:6" x14ac:dyDescent="0.25">
      <c r="A4" s="90" t="s">
        <v>14</v>
      </c>
      <c r="E4" s="90" t="str">
        <f>"Edison Vendor ID # "&amp;EdisonID</f>
        <v>Edison Vendor ID # 987-654-1203</v>
      </c>
    </row>
    <row r="5" spans="1:6" x14ac:dyDescent="0.25">
      <c r="A5" s="12" t="str">
        <f>setup!C11</f>
        <v>Sample Grantee</v>
      </c>
      <c r="B5" s="12" t="str">
        <f>setup!C15</f>
        <v>Sample Contact</v>
      </c>
    </row>
    <row r="6" spans="1:6" x14ac:dyDescent="0.25">
      <c r="A6" s="12" t="str">
        <f>setup!C12</f>
        <v>0000 Budget Lane</v>
      </c>
      <c r="B6" s="12" t="str">
        <f>setup!C16</f>
        <v>615-555-1234</v>
      </c>
      <c r="E6" s="90" t="str">
        <f>"Contract # " &amp; CurrentContractNumber</f>
        <v>Contract # FY20-12345</v>
      </c>
    </row>
    <row r="7" spans="1:6" x14ac:dyDescent="0.25">
      <c r="A7" s="12" t="str">
        <f>setup!C13</f>
        <v>Somewhere, TN 00000</v>
      </c>
      <c r="B7" s="12" t="str">
        <f>setup!C17</f>
        <v>sample.contact@fake.com</v>
      </c>
      <c r="E7" s="12" t="str">
        <f>"Contract Period "&amp;TEXT(DATE(FFY-1,10,1),"mm/dd/yyyy")&amp;" to "&amp;TEXT(DATE(FFY+1,10,0),"mm/dd/yyyy")</f>
        <v>Contract Period 10/01/2019 to 09/30/2021</v>
      </c>
    </row>
    <row r="8" spans="1:6" ht="7.5" customHeight="1" x14ac:dyDescent="0.25"/>
    <row r="9" spans="1:6" x14ac:dyDescent="0.25">
      <c r="A9" s="12" t="str">
        <f>"Contract Type: "&amp;ContractType</f>
        <v>Contract Type: CSGB</v>
      </c>
      <c r="E9" s="90" t="str">
        <f>"Invoice # " &amp;TEXT(IndexMonth,"00")&amp;"-"&amp;Summary!B5</f>
        <v>Invoice # 01-October</v>
      </c>
    </row>
    <row r="10" spans="1:6" x14ac:dyDescent="0.25">
      <c r="A10" s="12" t="str">
        <f>"Program/Component: "&amp;Program</f>
        <v>Program/Component: DHS</v>
      </c>
      <c r="E10" s="12" t="str">
        <f>"Ending " &amp;TEXT(InvoiceEOM,"mmmm dd, yyyy")</f>
        <v>Ending October 31, 2019</v>
      </c>
    </row>
    <row r="11" spans="1:6" ht="15" customHeight="1" x14ac:dyDescent="0.25"/>
    <row r="12" spans="1:6" x14ac:dyDescent="0.25">
      <c r="A12" s="102"/>
      <c r="B12" s="103" t="s">
        <v>53</v>
      </c>
      <c r="C12" s="103" t="s">
        <v>55</v>
      </c>
      <c r="D12" s="103" t="s">
        <v>57</v>
      </c>
      <c r="E12" s="103" t="s">
        <v>54</v>
      </c>
      <c r="F12" s="103" t="s">
        <v>59</v>
      </c>
    </row>
    <row r="13" spans="1:6" x14ac:dyDescent="0.25">
      <c r="A13" s="102" t="s">
        <v>52</v>
      </c>
      <c r="B13" s="103" t="s">
        <v>54</v>
      </c>
      <c r="C13" s="103" t="s">
        <v>56</v>
      </c>
      <c r="D13" s="103" t="s">
        <v>56</v>
      </c>
      <c r="E13" s="103" t="s">
        <v>58</v>
      </c>
      <c r="F13" s="103" t="s">
        <v>60</v>
      </c>
    </row>
    <row r="14" spans="1:6" x14ac:dyDescent="0.25">
      <c r="A14" s="104" t="str">
        <f t="array" ref="A14:A28">Categories</f>
        <v>Salaries</v>
      </c>
      <c r="B14" s="91">
        <f>SUM(EMP:Other!C5:D5)</f>
        <v>0</v>
      </c>
      <c r="C14" s="91">
        <f>SUM(EMP:Other!J5)</f>
        <v>0</v>
      </c>
      <c r="D14" s="91">
        <f>SUM(EMP:Other!G5)</f>
        <v>0</v>
      </c>
      <c r="E14" s="105">
        <f>IFERROR(C14/B14,0)</f>
        <v>0</v>
      </c>
      <c r="F14" s="106">
        <f t="shared" ref="F14:F29" si="0">IF(TACA_ERROR,"TACA Error",IF(E14&gt;1.1,"Error",D14))</f>
        <v>0</v>
      </c>
    </row>
    <row r="15" spans="1:6" x14ac:dyDescent="0.25">
      <c r="A15" s="104" t="str">
        <v>Benefits &amp; Taxes</v>
      </c>
      <c r="B15" s="91">
        <f>SUM(EMP:Other!C6:D6)</f>
        <v>66000</v>
      </c>
      <c r="C15" s="91">
        <f>SUM(EMP:Other!J6)</f>
        <v>0</v>
      </c>
      <c r="D15" s="91">
        <f>SUM(EMP:Other!G6)</f>
        <v>0</v>
      </c>
      <c r="E15" s="105">
        <f t="shared" ref="E15:E29" si="1">IFERROR(C15/B15,0)</f>
        <v>0</v>
      </c>
      <c r="F15" s="106">
        <f t="shared" si="0"/>
        <v>0</v>
      </c>
    </row>
    <row r="16" spans="1:6" x14ac:dyDescent="0.25">
      <c r="A16" s="104" t="str">
        <v>Professional Fee / Grant &amp; Award</v>
      </c>
      <c r="B16" s="91">
        <f>SUM(EMP:Other!C7:D7)</f>
        <v>60000</v>
      </c>
      <c r="C16" s="91">
        <f>SUM(EMP:Other!J7)</f>
        <v>0</v>
      </c>
      <c r="D16" s="91">
        <f>SUM(EMP:Other!G7)</f>
        <v>0</v>
      </c>
      <c r="E16" s="105">
        <f t="shared" si="1"/>
        <v>0</v>
      </c>
      <c r="F16" s="106">
        <f t="shared" si="0"/>
        <v>0</v>
      </c>
    </row>
    <row r="17" spans="1:6" x14ac:dyDescent="0.25">
      <c r="A17" s="104" t="str">
        <v>Supplies</v>
      </c>
      <c r="B17" s="91">
        <f>SUM(EMP:Other!C8:D8)</f>
        <v>85000</v>
      </c>
      <c r="C17" s="91">
        <f>SUM(EMP:Other!J8)</f>
        <v>0</v>
      </c>
      <c r="D17" s="91">
        <f>SUM(EMP:Other!G8)</f>
        <v>0</v>
      </c>
      <c r="E17" s="105">
        <f t="shared" si="1"/>
        <v>0</v>
      </c>
      <c r="F17" s="106">
        <f t="shared" si="0"/>
        <v>0</v>
      </c>
    </row>
    <row r="18" spans="1:6" x14ac:dyDescent="0.25">
      <c r="A18" s="104" t="str">
        <v>Telephone</v>
      </c>
      <c r="B18" s="91">
        <f>SUM(EMP:Other!C9:D9)</f>
        <v>94000</v>
      </c>
      <c r="C18" s="91">
        <f>SUM(EMP:Other!J9)</f>
        <v>0</v>
      </c>
      <c r="D18" s="91">
        <f>SUM(EMP:Other!G9)</f>
        <v>0</v>
      </c>
      <c r="E18" s="105">
        <f t="shared" si="1"/>
        <v>0</v>
      </c>
      <c r="F18" s="106">
        <f t="shared" si="0"/>
        <v>0</v>
      </c>
    </row>
    <row r="19" spans="1:6" x14ac:dyDescent="0.25">
      <c r="A19" s="104" t="str">
        <v>Postage &amp; Shipping</v>
      </c>
      <c r="B19" s="91">
        <f>SUM(EMP:Other!C10:D10)</f>
        <v>49000</v>
      </c>
      <c r="C19" s="91">
        <f>SUM(EMP:Other!J10)</f>
        <v>0</v>
      </c>
      <c r="D19" s="91">
        <f>SUM(EMP:Other!G10)</f>
        <v>0</v>
      </c>
      <c r="E19" s="105">
        <f t="shared" si="1"/>
        <v>0</v>
      </c>
      <c r="F19" s="106">
        <f t="shared" si="0"/>
        <v>0</v>
      </c>
    </row>
    <row r="20" spans="1:6" x14ac:dyDescent="0.25">
      <c r="A20" s="104" t="str">
        <v>Occupancy</v>
      </c>
      <c r="B20" s="91">
        <f>SUM(EMP:Other!C11:D11)</f>
        <v>81000</v>
      </c>
      <c r="C20" s="91">
        <f>SUM(EMP:Other!J11)</f>
        <v>0</v>
      </c>
      <c r="D20" s="91">
        <f>SUM(EMP:Other!G11)</f>
        <v>0</v>
      </c>
      <c r="E20" s="105">
        <f t="shared" si="1"/>
        <v>0</v>
      </c>
      <c r="F20" s="106">
        <f t="shared" si="0"/>
        <v>0</v>
      </c>
    </row>
    <row r="21" spans="1:6" x14ac:dyDescent="0.25">
      <c r="A21" s="104" t="str">
        <v>Equipment Rental &amp; Maintenance</v>
      </c>
      <c r="B21" s="91">
        <f>SUM(EMP:Other!C12:D12)</f>
        <v>112000</v>
      </c>
      <c r="C21" s="91">
        <f>SUM(EMP:Other!J12)</f>
        <v>0</v>
      </c>
      <c r="D21" s="91">
        <f>SUM(EMP:Other!G12)</f>
        <v>0</v>
      </c>
      <c r="E21" s="105">
        <f t="shared" si="1"/>
        <v>0</v>
      </c>
      <c r="F21" s="106">
        <f t="shared" si="0"/>
        <v>0</v>
      </c>
    </row>
    <row r="22" spans="1:6" x14ac:dyDescent="0.25">
      <c r="A22" s="104" t="str">
        <v>Printing &amp; Publications</v>
      </c>
      <c r="B22" s="91">
        <f>SUM(EMP:Other!C13:D13)</f>
        <v>113000</v>
      </c>
      <c r="C22" s="91">
        <f>SUM(EMP:Other!J13)</f>
        <v>0</v>
      </c>
      <c r="D22" s="91">
        <f>SUM(EMP:Other!G13)</f>
        <v>0</v>
      </c>
      <c r="E22" s="105">
        <f t="shared" si="1"/>
        <v>0</v>
      </c>
      <c r="F22" s="106">
        <f t="shared" si="0"/>
        <v>0</v>
      </c>
    </row>
    <row r="23" spans="1:6" x14ac:dyDescent="0.25">
      <c r="A23" s="104" t="str">
        <v>Travel / Conferences &amp; Meetings</v>
      </c>
      <c r="B23" s="91">
        <f>SUM(EMP:Other!C14:D14)</f>
        <v>81000</v>
      </c>
      <c r="C23" s="91">
        <f>SUM(EMP:Other!J14)</f>
        <v>0</v>
      </c>
      <c r="D23" s="91">
        <f>SUM(EMP:Other!G14)</f>
        <v>0</v>
      </c>
      <c r="E23" s="105">
        <f t="shared" si="1"/>
        <v>0</v>
      </c>
      <c r="F23" s="106">
        <f t="shared" si="0"/>
        <v>0</v>
      </c>
    </row>
    <row r="24" spans="1:6" x14ac:dyDescent="0.25">
      <c r="A24" s="104" t="str">
        <v>Insurance</v>
      </c>
      <c r="B24" s="91">
        <f>SUM(EMP:Other!C15:D15)</f>
        <v>73000</v>
      </c>
      <c r="C24" s="91">
        <f>SUM(EMP:Other!J15)</f>
        <v>0</v>
      </c>
      <c r="D24" s="91">
        <f>SUM(EMP:Other!G15)</f>
        <v>0</v>
      </c>
      <c r="E24" s="105">
        <f t="shared" si="1"/>
        <v>0</v>
      </c>
      <c r="F24" s="106">
        <f t="shared" si="0"/>
        <v>0</v>
      </c>
    </row>
    <row r="25" spans="1:6" x14ac:dyDescent="0.25">
      <c r="A25" s="104" t="str">
        <v>Specific Assistance to Individuals</v>
      </c>
      <c r="B25" s="91">
        <f>SUM(EMP:Other!C16:D16)</f>
        <v>53000</v>
      </c>
      <c r="C25" s="91">
        <f>SUM(EMP:Other!J16)</f>
        <v>0</v>
      </c>
      <c r="D25" s="91">
        <f>SUM(EMP:Other!G16)</f>
        <v>0</v>
      </c>
      <c r="E25" s="105">
        <f t="shared" si="1"/>
        <v>0</v>
      </c>
      <c r="F25" s="106">
        <f t="shared" si="0"/>
        <v>0</v>
      </c>
    </row>
    <row r="26" spans="1:6" x14ac:dyDescent="0.25">
      <c r="A26" s="104" t="str">
        <v>Depreciation</v>
      </c>
      <c r="B26" s="91">
        <f>SUM(EMP:Other!C17:D17)</f>
        <v>76000</v>
      </c>
      <c r="C26" s="91">
        <f>SUM(EMP:Other!J17)</f>
        <v>0</v>
      </c>
      <c r="D26" s="91">
        <f>SUM(EMP:Other!G17)</f>
        <v>0</v>
      </c>
      <c r="E26" s="105">
        <f t="shared" si="1"/>
        <v>0</v>
      </c>
      <c r="F26" s="106">
        <f t="shared" si="0"/>
        <v>0</v>
      </c>
    </row>
    <row r="27" spans="1:6" x14ac:dyDescent="0.25">
      <c r="A27" s="104" t="str">
        <v>Other Non_Personnel</v>
      </c>
      <c r="B27" s="91">
        <f>SUM(EMP:Other!C18:D18)</f>
        <v>88000</v>
      </c>
      <c r="C27" s="91">
        <f>SUM(EMP:Other!J18)</f>
        <v>0</v>
      </c>
      <c r="D27" s="91">
        <f>SUM(EMP:Other!G18)</f>
        <v>0</v>
      </c>
      <c r="E27" s="105">
        <f t="shared" si="1"/>
        <v>0</v>
      </c>
      <c r="F27" s="106">
        <f t="shared" si="0"/>
        <v>0</v>
      </c>
    </row>
    <row r="28" spans="1:6" x14ac:dyDescent="0.25">
      <c r="A28" s="104" t="str">
        <v>Indirect Cost / Adm. Exp. / M&amp;G</v>
      </c>
      <c r="B28" s="91">
        <f>SUM(EMP:Other!C19:D19)</f>
        <v>74000</v>
      </c>
      <c r="C28" s="91">
        <f>SUM(EMP:Other!J19)</f>
        <v>0</v>
      </c>
      <c r="D28" s="91">
        <f>SUM(EMP:Other!G19)</f>
        <v>0</v>
      </c>
      <c r="E28" s="105">
        <f t="shared" si="1"/>
        <v>0</v>
      </c>
      <c r="F28" s="106">
        <f t="shared" si="0"/>
        <v>0</v>
      </c>
    </row>
    <row r="29" spans="1:6" x14ac:dyDescent="0.25">
      <c r="A29" s="97" t="s">
        <v>51</v>
      </c>
      <c r="B29" s="88">
        <f>SUM(B14:B28)</f>
        <v>1105000</v>
      </c>
      <c r="C29" s="88">
        <f>SUM(C14:C28)</f>
        <v>0</v>
      </c>
      <c r="D29" s="88">
        <f>SUM(D14:D28)</f>
        <v>0</v>
      </c>
      <c r="E29" s="107">
        <f t="shared" si="1"/>
        <v>0</v>
      </c>
      <c r="F29" s="195">
        <f t="shared" si="0"/>
        <v>0</v>
      </c>
    </row>
    <row r="30" spans="1:6" ht="15" customHeight="1" x14ac:dyDescent="0.25"/>
    <row r="31" spans="1:6" ht="15" customHeight="1" x14ac:dyDescent="0.25">
      <c r="A31" s="209" t="s">
        <v>68</v>
      </c>
      <c r="B31" s="209"/>
      <c r="C31" s="209"/>
      <c r="D31" s="209"/>
      <c r="F31" s="108" t="s">
        <v>66</v>
      </c>
    </row>
    <row r="32" spans="1:6" ht="15" customHeight="1" x14ac:dyDescent="0.25">
      <c r="A32" s="209"/>
      <c r="B32" s="209"/>
      <c r="C32" s="209"/>
      <c r="D32" s="209"/>
      <c r="F32" s="109" t="str">
        <f>IF(AND(InvoiceMonth&gt;CurrentFinal,CurrentFinal&gt;0),"EXPIRED",IF(InvoiceMonth=CurrentFinal,"YES","NO"))</f>
        <v>NO</v>
      </c>
    </row>
    <row r="33" spans="1:6" ht="15" customHeight="1" x14ac:dyDescent="0.25">
      <c r="A33" s="209"/>
      <c r="B33" s="209"/>
      <c r="C33" s="209"/>
      <c r="D33" s="209"/>
    </row>
    <row r="34" spans="1:6" ht="15" customHeight="1" x14ac:dyDescent="0.25">
      <c r="A34" s="210" t="s">
        <v>123</v>
      </c>
      <c r="B34" s="211"/>
      <c r="C34" s="211"/>
      <c r="D34" s="211"/>
    </row>
    <row r="35" spans="1:6" ht="15" customHeight="1" thickBot="1" x14ac:dyDescent="0.3">
      <c r="A35" s="212"/>
      <c r="B35" s="212"/>
      <c r="C35" s="212"/>
      <c r="D35" s="212"/>
    </row>
    <row r="36" spans="1:6" x14ac:dyDescent="0.25">
      <c r="A36" s="110" t="s">
        <v>62</v>
      </c>
      <c r="B36" s="110"/>
      <c r="C36" s="110" t="s">
        <v>63</v>
      </c>
      <c r="D36" s="110" t="s">
        <v>64</v>
      </c>
      <c r="F36" s="111" t="s">
        <v>65</v>
      </c>
    </row>
    <row r="37" spans="1:6" x14ac:dyDescent="0.25">
      <c r="A37" s="90" t="s">
        <v>14</v>
      </c>
      <c r="E37" s="90" t="str">
        <f>"Edison Vendor ID # "&amp;EdisonID</f>
        <v>Edison Vendor ID # 987-654-1203</v>
      </c>
    </row>
    <row r="38" spans="1:6" x14ac:dyDescent="0.25">
      <c r="A38" s="12" t="str">
        <f>setup!C11</f>
        <v>Sample Grantee</v>
      </c>
      <c r="B38" s="12" t="str">
        <f>setup!C15</f>
        <v>Sample Contact</v>
      </c>
    </row>
    <row r="39" spans="1:6" x14ac:dyDescent="0.25">
      <c r="A39" s="12" t="str">
        <f>setup!C12</f>
        <v>0000 Budget Lane</v>
      </c>
      <c r="B39" s="12" t="str">
        <f>setup!C16</f>
        <v>615-555-1234</v>
      </c>
      <c r="E39" s="90" t="str">
        <f>"Contract # " &amp; RolloverContractNumber</f>
        <v>Contract # FY19-67890</v>
      </c>
    </row>
    <row r="40" spans="1:6" x14ac:dyDescent="0.25">
      <c r="A40" s="12" t="str">
        <f>setup!C13</f>
        <v>Somewhere, TN 00000</v>
      </c>
      <c r="B40" s="12" t="str">
        <f>setup!C17</f>
        <v>sample.contact@fake.com</v>
      </c>
      <c r="E40" s="12" t="str">
        <f>"Contract Period "&amp;TEXT(DATE(FFY-2,10,1),"mm/dd/yyyy")&amp;" to "&amp;TEXT(DATE(FFY,10,0),"mm/dd/yyyy")</f>
        <v>Contract Period 10/01/2018 to 09/30/2020</v>
      </c>
    </row>
    <row r="41" spans="1:6" ht="7.5" customHeight="1" x14ac:dyDescent="0.25"/>
    <row r="42" spans="1:6" x14ac:dyDescent="0.25">
      <c r="A42" s="12" t="str">
        <f>"Contract Type: "&amp;ContractType</f>
        <v>Contract Type: CSGB</v>
      </c>
      <c r="E42" s="90" t="str">
        <f>"Invoice # " &amp;TEXT(IndexMonth+12,"00")&amp;"-"&amp;Summary!B5</f>
        <v>Invoice # 13-October</v>
      </c>
    </row>
    <row r="43" spans="1:6" x14ac:dyDescent="0.25">
      <c r="A43" s="12" t="str">
        <f>"Program/Component: "&amp;Program</f>
        <v>Program/Component: DHS</v>
      </c>
      <c r="E43" s="12" t="str">
        <f>"Ending " &amp;TEXT(InvoiceEOM,"mmmm dd, yyyy")</f>
        <v>Ending October 31, 2019</v>
      </c>
    </row>
    <row r="44" spans="1:6" ht="15" customHeight="1" x14ac:dyDescent="0.25"/>
    <row r="45" spans="1:6" x14ac:dyDescent="0.25">
      <c r="A45" s="102"/>
      <c r="B45" s="103" t="s">
        <v>53</v>
      </c>
      <c r="C45" s="103" t="s">
        <v>55</v>
      </c>
      <c r="D45" s="103" t="s">
        <v>57</v>
      </c>
      <c r="E45" s="103" t="s">
        <v>54</v>
      </c>
      <c r="F45" s="103" t="s">
        <v>59</v>
      </c>
    </row>
    <row r="46" spans="1:6" x14ac:dyDescent="0.25">
      <c r="A46" s="102" t="s">
        <v>52</v>
      </c>
      <c r="B46" s="103" t="s">
        <v>54</v>
      </c>
      <c r="C46" s="103" t="s">
        <v>56</v>
      </c>
      <c r="D46" s="103" t="s">
        <v>56</v>
      </c>
      <c r="E46" s="103" t="s">
        <v>58</v>
      </c>
      <c r="F46" s="103" t="s">
        <v>60</v>
      </c>
    </row>
    <row r="47" spans="1:6" x14ac:dyDescent="0.25">
      <c r="A47" s="104" t="str">
        <f t="array" ref="A47:A61">Categories</f>
        <v>Salaries</v>
      </c>
      <c r="B47" s="91">
        <f>SUM(EMP:Other!E5)</f>
        <v>10700</v>
      </c>
      <c r="C47" s="91">
        <f>SUM(EMP:Other!K5)</f>
        <v>0</v>
      </c>
      <c r="D47" s="91">
        <f>SUM(EMP:Other!H5)</f>
        <v>0</v>
      </c>
      <c r="E47" s="105">
        <f>IFERROR(C47/B47,0)</f>
        <v>0</v>
      </c>
      <c r="F47" s="106">
        <f t="shared" ref="F47:F62" si="2">IF(TACA_ERROR,"TACA Error",IF(E47&gt;1.1,"Error",D47))</f>
        <v>0</v>
      </c>
    </row>
    <row r="48" spans="1:6" x14ac:dyDescent="0.25">
      <c r="A48" s="104" t="str">
        <v>Benefits &amp; Taxes</v>
      </c>
      <c r="B48" s="91">
        <f>SUM(EMP:Other!E6)</f>
        <v>7700</v>
      </c>
      <c r="C48" s="91">
        <f>SUM(EMP:Other!K6)</f>
        <v>0</v>
      </c>
      <c r="D48" s="91">
        <f>SUM(EMP:Other!H6)</f>
        <v>0</v>
      </c>
      <c r="E48" s="105">
        <f t="shared" ref="E48:E62" si="3">IFERROR(C48/B48,0)</f>
        <v>0</v>
      </c>
      <c r="F48" s="106">
        <f t="shared" si="2"/>
        <v>0</v>
      </c>
    </row>
    <row r="49" spans="1:6" x14ac:dyDescent="0.25">
      <c r="A49" s="104" t="str">
        <v>Professional Fee / Grant &amp; Award</v>
      </c>
      <c r="B49" s="91">
        <f>SUM(EMP:Other!E7)</f>
        <v>9100</v>
      </c>
      <c r="C49" s="91">
        <f>SUM(EMP:Other!K7)</f>
        <v>0</v>
      </c>
      <c r="D49" s="91">
        <f>SUM(EMP:Other!H7)</f>
        <v>0</v>
      </c>
      <c r="E49" s="105">
        <f t="shared" si="3"/>
        <v>0</v>
      </c>
      <c r="F49" s="106">
        <f t="shared" si="2"/>
        <v>0</v>
      </c>
    </row>
    <row r="50" spans="1:6" x14ac:dyDescent="0.25">
      <c r="A50" s="104" t="str">
        <v>Supplies</v>
      </c>
      <c r="B50" s="91">
        <f>SUM(EMP:Other!E8)</f>
        <v>7100</v>
      </c>
      <c r="C50" s="91">
        <f>SUM(EMP:Other!K8)</f>
        <v>0</v>
      </c>
      <c r="D50" s="91">
        <f>SUM(EMP:Other!H8)</f>
        <v>0</v>
      </c>
      <c r="E50" s="105">
        <f t="shared" si="3"/>
        <v>0</v>
      </c>
      <c r="F50" s="106">
        <f t="shared" si="2"/>
        <v>0</v>
      </c>
    </row>
    <row r="51" spans="1:6" x14ac:dyDescent="0.25">
      <c r="A51" s="104" t="str">
        <v>Telephone</v>
      </c>
      <c r="B51" s="91">
        <f>SUM(EMP:Other!E9)</f>
        <v>8000</v>
      </c>
      <c r="C51" s="91">
        <f>SUM(EMP:Other!K9)</f>
        <v>0</v>
      </c>
      <c r="D51" s="91">
        <f>SUM(EMP:Other!H9)</f>
        <v>0</v>
      </c>
      <c r="E51" s="105">
        <f t="shared" si="3"/>
        <v>0</v>
      </c>
      <c r="F51" s="106">
        <f t="shared" si="2"/>
        <v>0</v>
      </c>
    </row>
    <row r="52" spans="1:6" x14ac:dyDescent="0.25">
      <c r="A52" s="104" t="str">
        <v>Postage &amp; Shipping</v>
      </c>
      <c r="B52" s="91">
        <f>SUM(EMP:Other!E10)</f>
        <v>9400</v>
      </c>
      <c r="C52" s="91">
        <f>SUM(EMP:Other!K10)</f>
        <v>0</v>
      </c>
      <c r="D52" s="91">
        <f>SUM(EMP:Other!H10)</f>
        <v>0</v>
      </c>
      <c r="E52" s="105">
        <f t="shared" si="3"/>
        <v>0</v>
      </c>
      <c r="F52" s="106">
        <f t="shared" si="2"/>
        <v>0</v>
      </c>
    </row>
    <row r="53" spans="1:6" x14ac:dyDescent="0.25">
      <c r="A53" s="104" t="str">
        <v>Occupancy</v>
      </c>
      <c r="B53" s="91">
        <f>SUM(EMP:Other!E11)</f>
        <v>6900</v>
      </c>
      <c r="C53" s="91">
        <f>SUM(EMP:Other!K11)</f>
        <v>0</v>
      </c>
      <c r="D53" s="91">
        <f>SUM(EMP:Other!H11)</f>
        <v>0</v>
      </c>
      <c r="E53" s="105">
        <f t="shared" si="3"/>
        <v>0</v>
      </c>
      <c r="F53" s="106">
        <f t="shared" si="2"/>
        <v>0</v>
      </c>
    </row>
    <row r="54" spans="1:6" x14ac:dyDescent="0.25">
      <c r="A54" s="104" t="str">
        <v>Equipment Rental &amp; Maintenance</v>
      </c>
      <c r="B54" s="91">
        <f>SUM(EMP:Other!E12)</f>
        <v>10600</v>
      </c>
      <c r="C54" s="91">
        <f>SUM(EMP:Other!K12)</f>
        <v>0</v>
      </c>
      <c r="D54" s="91">
        <f>SUM(EMP:Other!H12)</f>
        <v>0</v>
      </c>
      <c r="E54" s="105">
        <f t="shared" si="3"/>
        <v>0</v>
      </c>
      <c r="F54" s="106">
        <f t="shared" si="2"/>
        <v>0</v>
      </c>
    </row>
    <row r="55" spans="1:6" x14ac:dyDescent="0.25">
      <c r="A55" s="104" t="str">
        <v>Printing &amp; Publications</v>
      </c>
      <c r="B55" s="91">
        <f>SUM(EMP:Other!E13)</f>
        <v>9500</v>
      </c>
      <c r="C55" s="91">
        <f>SUM(EMP:Other!K13)</f>
        <v>0</v>
      </c>
      <c r="D55" s="91">
        <f>SUM(EMP:Other!H13)</f>
        <v>0</v>
      </c>
      <c r="E55" s="105">
        <f t="shared" si="3"/>
        <v>0</v>
      </c>
      <c r="F55" s="106">
        <f t="shared" si="2"/>
        <v>0</v>
      </c>
    </row>
    <row r="56" spans="1:6" x14ac:dyDescent="0.25">
      <c r="A56" s="104" t="str">
        <v>Travel / Conferences &amp; Meetings</v>
      </c>
      <c r="B56" s="91">
        <f>SUM(EMP:Other!E14)</f>
        <v>9300</v>
      </c>
      <c r="C56" s="91">
        <f>SUM(EMP:Other!K14)</f>
        <v>0</v>
      </c>
      <c r="D56" s="91">
        <f>SUM(EMP:Other!H14)</f>
        <v>0</v>
      </c>
      <c r="E56" s="105">
        <f t="shared" si="3"/>
        <v>0</v>
      </c>
      <c r="F56" s="106">
        <f t="shared" si="2"/>
        <v>0</v>
      </c>
    </row>
    <row r="57" spans="1:6" x14ac:dyDescent="0.25">
      <c r="A57" s="104" t="str">
        <v>Insurance</v>
      </c>
      <c r="B57" s="91">
        <f>SUM(EMP:Other!E15)</f>
        <v>5100</v>
      </c>
      <c r="C57" s="91">
        <f>SUM(EMP:Other!K15)</f>
        <v>0</v>
      </c>
      <c r="D57" s="91">
        <f>SUM(EMP:Other!H15)</f>
        <v>0</v>
      </c>
      <c r="E57" s="105">
        <f t="shared" si="3"/>
        <v>0</v>
      </c>
      <c r="F57" s="106">
        <f t="shared" si="2"/>
        <v>0</v>
      </c>
    </row>
    <row r="58" spans="1:6" x14ac:dyDescent="0.25">
      <c r="A58" s="104" t="str">
        <v>Specific Assistance to Individuals</v>
      </c>
      <c r="B58" s="91">
        <f>SUM(EMP:Other!E16)</f>
        <v>10300</v>
      </c>
      <c r="C58" s="91">
        <f>SUM(EMP:Other!K16)</f>
        <v>0</v>
      </c>
      <c r="D58" s="91">
        <f>SUM(EMP:Other!H16)</f>
        <v>0</v>
      </c>
      <c r="E58" s="105">
        <f t="shared" si="3"/>
        <v>0</v>
      </c>
      <c r="F58" s="106">
        <f t="shared" si="2"/>
        <v>0</v>
      </c>
    </row>
    <row r="59" spans="1:6" x14ac:dyDescent="0.25">
      <c r="A59" s="104" t="str">
        <v>Depreciation</v>
      </c>
      <c r="B59" s="91">
        <f>SUM(EMP:Other!E17)</f>
        <v>9800</v>
      </c>
      <c r="C59" s="91">
        <f>SUM(EMP:Other!K17)</f>
        <v>0</v>
      </c>
      <c r="D59" s="91">
        <f>SUM(EMP:Other!H17)</f>
        <v>0</v>
      </c>
      <c r="E59" s="105">
        <f t="shared" si="3"/>
        <v>0</v>
      </c>
      <c r="F59" s="106">
        <f t="shared" si="2"/>
        <v>0</v>
      </c>
    </row>
    <row r="60" spans="1:6" x14ac:dyDescent="0.25">
      <c r="A60" s="104" t="str">
        <v>Other Non_Personnel</v>
      </c>
      <c r="B60" s="91">
        <f>SUM(EMP:Other!E18)</f>
        <v>8800</v>
      </c>
      <c r="C60" s="91">
        <f>SUM(EMP:Other!K18)</f>
        <v>0</v>
      </c>
      <c r="D60" s="91">
        <f>SUM(EMP:Other!H18)</f>
        <v>0</v>
      </c>
      <c r="E60" s="105">
        <f t="shared" si="3"/>
        <v>0</v>
      </c>
      <c r="F60" s="106">
        <f t="shared" si="2"/>
        <v>0</v>
      </c>
    </row>
    <row r="61" spans="1:6" x14ac:dyDescent="0.25">
      <c r="A61" s="104" t="str">
        <v>Indirect Cost / Adm. Exp. / M&amp;G</v>
      </c>
      <c r="B61" s="91">
        <f>SUM(EMP:Other!E19)</f>
        <v>10600</v>
      </c>
      <c r="C61" s="91">
        <f>SUM(EMP:Other!K19)</f>
        <v>0</v>
      </c>
      <c r="D61" s="91">
        <f>SUM(EMP:Other!H19)</f>
        <v>0</v>
      </c>
      <c r="E61" s="105">
        <f t="shared" si="3"/>
        <v>0</v>
      </c>
      <c r="F61" s="106">
        <f t="shared" si="2"/>
        <v>0</v>
      </c>
    </row>
    <row r="62" spans="1:6" x14ac:dyDescent="0.25">
      <c r="A62" s="97" t="s">
        <v>51</v>
      </c>
      <c r="B62" s="88">
        <f>SUM(B47:B61)</f>
        <v>132900</v>
      </c>
      <c r="C62" s="88">
        <f t="shared" ref="C62" si="4">SUM(C47:C61)</f>
        <v>0</v>
      </c>
      <c r="D62" s="88">
        <f t="shared" ref="D62" si="5">SUM(D47:D61)</f>
        <v>0</v>
      </c>
      <c r="E62" s="107">
        <f t="shared" si="3"/>
        <v>0</v>
      </c>
      <c r="F62" s="195">
        <f t="shared" si="2"/>
        <v>0</v>
      </c>
    </row>
    <row r="63" spans="1:6" ht="15" customHeight="1" x14ac:dyDescent="0.25"/>
    <row r="64" spans="1:6" x14ac:dyDescent="0.25">
      <c r="A64" s="209" t="str">
        <f>A31</f>
        <v>I certify to the best of my knowledge and belief that the data above are correct and that all expenditures were made in accordance with the contract conditions and that payment is due and has not been previously requested.</v>
      </c>
      <c r="B64" s="209"/>
      <c r="C64" s="209"/>
      <c r="D64" s="209"/>
      <c r="F64" s="108" t="s">
        <v>66</v>
      </c>
    </row>
    <row r="65" spans="1:6" x14ac:dyDescent="0.25">
      <c r="A65" s="209"/>
      <c r="B65" s="209"/>
      <c r="C65" s="209"/>
      <c r="D65" s="209"/>
      <c r="F65" s="109" t="str">
        <f>IF(AND(InvoiceMonth&gt;CarryoverFinal,CarryoverFinal&gt;0),"EXPIRED",IF(InvoiceMonth=CarryoverFinal,"YES","NO"))</f>
        <v>NO</v>
      </c>
    </row>
    <row r="66" spans="1:6" x14ac:dyDescent="0.25">
      <c r="A66" s="209"/>
      <c r="B66" s="209"/>
      <c r="C66" s="209"/>
      <c r="D66" s="209"/>
    </row>
    <row r="67" spans="1:6" x14ac:dyDescent="0.25">
      <c r="A67" s="210" t="str">
        <f>A34</f>
        <v>THIS CONTRACT HAS EXPIRED AND CANNOT BE SIGNED</v>
      </c>
      <c r="B67" s="211"/>
      <c r="C67" s="211"/>
      <c r="D67" s="211"/>
    </row>
    <row r="68" spans="1:6" ht="15" customHeight="1" thickBot="1" x14ac:dyDescent="0.3">
      <c r="A68" s="212"/>
      <c r="B68" s="212"/>
      <c r="C68" s="212"/>
      <c r="D68" s="212"/>
    </row>
    <row r="69" spans="1:6" x14ac:dyDescent="0.25">
      <c r="A69" s="110" t="s">
        <v>62</v>
      </c>
      <c r="B69" s="110"/>
      <c r="C69" s="110" t="s">
        <v>63</v>
      </c>
      <c r="D69" s="110" t="s">
        <v>64</v>
      </c>
      <c r="F69" s="111" t="s">
        <v>65</v>
      </c>
    </row>
    <row r="70" spans="1:6" hidden="1" x14ac:dyDescent="0.25"/>
    <row r="71" spans="1:6" hidden="1" x14ac:dyDescent="0.25"/>
    <row r="72" spans="1:6" hidden="1" x14ac:dyDescent="0.25"/>
    <row r="73" spans="1:6" hidden="1" x14ac:dyDescent="0.25"/>
    <row r="74" spans="1:6" hidden="1" x14ac:dyDescent="0.25"/>
    <row r="75" spans="1:6" hidden="1" x14ac:dyDescent="0.25"/>
    <row r="76" spans="1:6" hidden="1" x14ac:dyDescent="0.25"/>
    <row r="77" spans="1:6" hidden="1" x14ac:dyDescent="0.25"/>
    <row r="78" spans="1:6" hidden="1" x14ac:dyDescent="0.25"/>
    <row r="79" spans="1:6" hidden="1" x14ac:dyDescent="0.25"/>
    <row r="80" spans="1:6"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sheetData>
  <sheetProtection algorithmName="SHA-512" hashValue="rEXtidnO5pCYDIAeDVzfu7TSuTUWkHxb4AXVJMHheoIwzJoanR6XMxXyz1XI+F5KpRP/RnZPB/7bOUWCbvqZkw==" saltValue="9zPnwZmf3Bo+5J/sG1qh+g==" spinCount="100000" sheet="1" selectLockedCells="1" selectUnlockedCells="1"/>
  <mergeCells count="4">
    <mergeCell ref="A31:D33"/>
    <mergeCell ref="A34:D35"/>
    <mergeCell ref="A64:D66"/>
    <mergeCell ref="A67:D68"/>
  </mergeCells>
  <conditionalFormatting sqref="A47:F61 A14:F28">
    <cfRule type="expression" dxfId="38" priority="2">
      <formula>$E14&gt;1.1</formula>
    </cfRule>
  </conditionalFormatting>
  <conditionalFormatting sqref="A34 A67">
    <cfRule type="expression" dxfId="37" priority="1">
      <formula>F32="EXPIRED"</formula>
    </cfRule>
  </conditionalFormatting>
  <printOptions horizontalCentered="1"/>
  <pageMargins left="0.25" right="0.2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67A12-B395-4922-94E6-5A6CD30A7256}">
  <sheetPr codeName="Sheet5"/>
  <dimension ref="A1:R81"/>
  <sheetViews>
    <sheetView showGridLines="0" zoomScaleNormal="10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1</v>
      </c>
      <c r="B1" s="58" t="str">
        <f>INDEX(Domains,A1,3)</f>
        <v>Employment</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900</v>
      </c>
      <c r="F5" s="75">
        <f t="shared" ref="F5:F19" si="0">C5+E5+D5</f>
        <v>900</v>
      </c>
      <c r="G5" s="76">
        <f>I5-H5</f>
        <v>0</v>
      </c>
      <c r="H5" s="74">
        <f>MIN(I5,MAX(0,E5-L5+I5))</f>
        <v>0</v>
      </c>
      <c r="I5" s="75">
        <f t="array" ref="I5:I19">INDEX(C26:N40,,IndexMonth)</f>
        <v>0</v>
      </c>
      <c r="J5" s="77">
        <f>L5-K5</f>
        <v>0</v>
      </c>
      <c r="K5" s="46">
        <f t="shared" ref="K5:K19" si="1">MIN(E5,L5)</f>
        <v>0</v>
      </c>
      <c r="L5" s="74">
        <f>SUM(C26:INDEX(C26:N26,IndexMonth))</f>
        <v>0</v>
      </c>
      <c r="N5" s="46">
        <f>E5-K5</f>
        <v>900</v>
      </c>
      <c r="P5" s="46">
        <f t="shared" ref="P5:P19" si="2">MAX(0,SUM(C5:D5)-J5)</f>
        <v>0</v>
      </c>
      <c r="R5" s="78"/>
    </row>
    <row r="6" spans="1:18" x14ac:dyDescent="0.25">
      <c r="B6" s="73" t="str">
        <v>Benefits &amp; Taxes</v>
      </c>
      <c r="C6" s="48">
        <v>8000</v>
      </c>
      <c r="D6" s="79">
        <f>SUM(C47:INDEX(C47:N47,IndexMonth))</f>
        <v>0</v>
      </c>
      <c r="E6" s="48">
        <v>0</v>
      </c>
      <c r="F6" s="80">
        <f t="shared" si="0"/>
        <v>8000</v>
      </c>
      <c r="G6" s="81">
        <f t="shared" ref="G6:G19" si="3">I6-H6</f>
        <v>0</v>
      </c>
      <c r="H6" s="79">
        <f t="shared" ref="H6:H19" si="4">MIN(I6,MAX(0,E6-L6+I6))</f>
        <v>0</v>
      </c>
      <c r="I6" s="80">
        <v>0</v>
      </c>
      <c r="J6" s="82">
        <f t="shared" ref="J6:J19" si="5">L6-K6</f>
        <v>0</v>
      </c>
      <c r="K6" s="48">
        <f t="shared" si="1"/>
        <v>0</v>
      </c>
      <c r="L6" s="79">
        <f>SUM(C27:INDEX(C27:N27,IndexMonth))</f>
        <v>0</v>
      </c>
      <c r="N6" s="48">
        <f t="shared" ref="N6:N19" si="6">E6-K6</f>
        <v>0</v>
      </c>
      <c r="P6" s="48">
        <f t="shared" si="2"/>
        <v>8000</v>
      </c>
    </row>
    <row r="7" spans="1:18" x14ac:dyDescent="0.25">
      <c r="B7" s="73" t="str">
        <v>Professional Fee / Grant &amp; Award</v>
      </c>
      <c r="C7" s="48">
        <v>9000</v>
      </c>
      <c r="D7" s="79">
        <f>SUM(C48:INDEX(C48:N48,IndexMonth))</f>
        <v>0</v>
      </c>
      <c r="E7" s="48">
        <v>1600</v>
      </c>
      <c r="F7" s="80">
        <f t="shared" si="0"/>
        <v>10600</v>
      </c>
      <c r="G7" s="81">
        <f t="shared" si="3"/>
        <v>0</v>
      </c>
      <c r="H7" s="79">
        <f t="shared" si="4"/>
        <v>0</v>
      </c>
      <c r="I7" s="80">
        <v>0</v>
      </c>
      <c r="J7" s="82">
        <f t="shared" si="5"/>
        <v>0</v>
      </c>
      <c r="K7" s="48">
        <f t="shared" si="1"/>
        <v>0</v>
      </c>
      <c r="L7" s="79">
        <f>SUM(C28:INDEX(C28:N28,IndexMonth))</f>
        <v>0</v>
      </c>
      <c r="N7" s="48">
        <f t="shared" si="6"/>
        <v>1600</v>
      </c>
      <c r="P7" s="48">
        <f t="shared" si="2"/>
        <v>9000</v>
      </c>
    </row>
    <row r="8" spans="1:18" x14ac:dyDescent="0.25">
      <c r="B8" s="73" t="str">
        <v>Supplies</v>
      </c>
      <c r="C8" s="48">
        <v>10000</v>
      </c>
      <c r="D8" s="79">
        <f>SUM(C49:INDEX(C49:N49,IndexMonth))</f>
        <v>0</v>
      </c>
      <c r="E8" s="48">
        <v>900</v>
      </c>
      <c r="F8" s="80">
        <f t="shared" si="0"/>
        <v>10900</v>
      </c>
      <c r="G8" s="81">
        <f t="shared" si="3"/>
        <v>0</v>
      </c>
      <c r="H8" s="79">
        <f t="shared" si="4"/>
        <v>0</v>
      </c>
      <c r="I8" s="80">
        <v>0</v>
      </c>
      <c r="J8" s="82">
        <f t="shared" si="5"/>
        <v>0</v>
      </c>
      <c r="K8" s="48">
        <f t="shared" si="1"/>
        <v>0</v>
      </c>
      <c r="L8" s="79">
        <f>SUM(C29:INDEX(C29:N29,IndexMonth))</f>
        <v>0</v>
      </c>
      <c r="N8" s="48">
        <f t="shared" si="6"/>
        <v>900</v>
      </c>
      <c r="P8" s="48">
        <f t="shared" si="2"/>
        <v>10000</v>
      </c>
    </row>
    <row r="9" spans="1:18" x14ac:dyDescent="0.25">
      <c r="B9" s="73" t="str">
        <v>Telephone</v>
      </c>
      <c r="C9" s="48">
        <v>10000</v>
      </c>
      <c r="D9" s="79">
        <f>SUM(C50:INDEX(C50:N50,IndexMonth))</f>
        <v>0</v>
      </c>
      <c r="E9" s="48">
        <v>1200</v>
      </c>
      <c r="F9" s="80">
        <f t="shared" si="0"/>
        <v>11200</v>
      </c>
      <c r="G9" s="81">
        <f t="shared" si="3"/>
        <v>0</v>
      </c>
      <c r="H9" s="79">
        <f t="shared" si="4"/>
        <v>0</v>
      </c>
      <c r="I9" s="80">
        <v>0</v>
      </c>
      <c r="J9" s="82">
        <f t="shared" si="5"/>
        <v>0</v>
      </c>
      <c r="K9" s="48">
        <f t="shared" si="1"/>
        <v>0</v>
      </c>
      <c r="L9" s="79">
        <f>SUM(C30:INDEX(C30:N30,IndexMonth))</f>
        <v>0</v>
      </c>
      <c r="N9" s="48">
        <f t="shared" si="6"/>
        <v>1200</v>
      </c>
      <c r="P9" s="48">
        <f t="shared" si="2"/>
        <v>10000</v>
      </c>
    </row>
    <row r="10" spans="1:18" x14ac:dyDescent="0.25">
      <c r="B10" s="73" t="str">
        <v>Postage &amp; Shipping</v>
      </c>
      <c r="C10" s="48">
        <v>3000</v>
      </c>
      <c r="D10" s="79">
        <f>SUM(C51:INDEX(C51:N51,IndexMonth))</f>
        <v>0</v>
      </c>
      <c r="E10" s="48">
        <v>1400</v>
      </c>
      <c r="F10" s="80">
        <f t="shared" si="0"/>
        <v>4400</v>
      </c>
      <c r="G10" s="81">
        <f t="shared" si="3"/>
        <v>0</v>
      </c>
      <c r="H10" s="79">
        <f t="shared" si="4"/>
        <v>0</v>
      </c>
      <c r="I10" s="80">
        <v>0</v>
      </c>
      <c r="J10" s="82">
        <f t="shared" si="5"/>
        <v>0</v>
      </c>
      <c r="K10" s="48">
        <f t="shared" si="1"/>
        <v>0</v>
      </c>
      <c r="L10" s="79">
        <f>SUM(C31:INDEX(C31:N31,IndexMonth))</f>
        <v>0</v>
      </c>
      <c r="N10" s="48">
        <f t="shared" si="6"/>
        <v>1400</v>
      </c>
      <c r="P10" s="48">
        <f t="shared" si="2"/>
        <v>3000</v>
      </c>
    </row>
    <row r="11" spans="1:18" x14ac:dyDescent="0.25">
      <c r="B11" s="73" t="str">
        <v>Occupancy</v>
      </c>
      <c r="C11" s="48">
        <v>9000</v>
      </c>
      <c r="D11" s="79">
        <f>SUM(C52:INDEX(C52:N52,IndexMonth))</f>
        <v>0</v>
      </c>
      <c r="E11" s="48">
        <v>0</v>
      </c>
      <c r="F11" s="80">
        <f t="shared" si="0"/>
        <v>9000</v>
      </c>
      <c r="G11" s="81">
        <f t="shared" si="3"/>
        <v>0</v>
      </c>
      <c r="H11" s="79">
        <f t="shared" si="4"/>
        <v>0</v>
      </c>
      <c r="I11" s="80">
        <v>0</v>
      </c>
      <c r="J11" s="82">
        <f t="shared" si="5"/>
        <v>0</v>
      </c>
      <c r="K11" s="48">
        <f t="shared" si="1"/>
        <v>0</v>
      </c>
      <c r="L11" s="79">
        <f>SUM(C32:INDEX(C32:N32,IndexMonth))</f>
        <v>0</v>
      </c>
      <c r="N11" s="48">
        <f t="shared" si="6"/>
        <v>0</v>
      </c>
      <c r="P11" s="48">
        <f t="shared" si="2"/>
        <v>9000</v>
      </c>
    </row>
    <row r="12" spans="1:18" x14ac:dyDescent="0.25">
      <c r="B12" s="73" t="str">
        <v>Equipment Rental &amp; Maintenance</v>
      </c>
      <c r="C12" s="48">
        <v>12000</v>
      </c>
      <c r="D12" s="79">
        <f>SUM(C53:INDEX(C53:N53,IndexMonth))</f>
        <v>0</v>
      </c>
      <c r="E12" s="48">
        <v>1600</v>
      </c>
      <c r="F12" s="80">
        <f t="shared" si="0"/>
        <v>13600</v>
      </c>
      <c r="G12" s="81">
        <f t="shared" si="3"/>
        <v>0</v>
      </c>
      <c r="H12" s="79">
        <f t="shared" si="4"/>
        <v>0</v>
      </c>
      <c r="I12" s="80">
        <v>0</v>
      </c>
      <c r="J12" s="82">
        <f t="shared" si="5"/>
        <v>0</v>
      </c>
      <c r="K12" s="48">
        <f t="shared" si="1"/>
        <v>0</v>
      </c>
      <c r="L12" s="79">
        <f>SUM(C33:INDEX(C33:N33,IndexMonth))</f>
        <v>0</v>
      </c>
      <c r="N12" s="48">
        <f t="shared" si="6"/>
        <v>1600</v>
      </c>
      <c r="P12" s="48">
        <f t="shared" si="2"/>
        <v>12000</v>
      </c>
    </row>
    <row r="13" spans="1:18" x14ac:dyDescent="0.25">
      <c r="B13" s="73" t="str">
        <v>Printing &amp; Publications</v>
      </c>
      <c r="C13" s="48">
        <v>12000</v>
      </c>
      <c r="D13" s="79">
        <f>SUM(C54:INDEX(C54:N54,IndexMonth))</f>
        <v>0</v>
      </c>
      <c r="E13" s="48">
        <v>0</v>
      </c>
      <c r="F13" s="80">
        <f t="shared" si="0"/>
        <v>12000</v>
      </c>
      <c r="G13" s="81">
        <f t="shared" si="3"/>
        <v>0</v>
      </c>
      <c r="H13" s="79">
        <f t="shared" si="4"/>
        <v>0</v>
      </c>
      <c r="I13" s="80">
        <v>0</v>
      </c>
      <c r="J13" s="82">
        <f t="shared" si="5"/>
        <v>0</v>
      </c>
      <c r="K13" s="48">
        <f t="shared" si="1"/>
        <v>0</v>
      </c>
      <c r="L13" s="79">
        <f>SUM(C34:INDEX(C34:N34,IndexMonth))</f>
        <v>0</v>
      </c>
      <c r="N13" s="48">
        <f t="shared" si="6"/>
        <v>0</v>
      </c>
      <c r="P13" s="48">
        <f t="shared" si="2"/>
        <v>12000</v>
      </c>
    </row>
    <row r="14" spans="1:18" x14ac:dyDescent="0.25">
      <c r="B14" s="73" t="str">
        <v>Travel / Conferences &amp; Meetings</v>
      </c>
      <c r="C14" s="48">
        <v>12000</v>
      </c>
      <c r="D14" s="79">
        <f>SUM(C55:INDEX(C55:N55,IndexMonth))</f>
        <v>0</v>
      </c>
      <c r="E14" s="48">
        <v>1700</v>
      </c>
      <c r="F14" s="80">
        <f t="shared" si="0"/>
        <v>13700</v>
      </c>
      <c r="G14" s="81">
        <f t="shared" si="3"/>
        <v>0</v>
      </c>
      <c r="H14" s="79">
        <f t="shared" si="4"/>
        <v>0</v>
      </c>
      <c r="I14" s="80">
        <v>0</v>
      </c>
      <c r="J14" s="82">
        <f t="shared" si="5"/>
        <v>0</v>
      </c>
      <c r="K14" s="48">
        <f t="shared" si="1"/>
        <v>0</v>
      </c>
      <c r="L14" s="79">
        <f>SUM(C35:INDEX(C35:N35,IndexMonth))</f>
        <v>0</v>
      </c>
      <c r="N14" s="48">
        <f t="shared" si="6"/>
        <v>1700</v>
      </c>
      <c r="P14" s="48">
        <f t="shared" si="2"/>
        <v>12000</v>
      </c>
    </row>
    <row r="15" spans="1:18" x14ac:dyDescent="0.25">
      <c r="B15" s="73" t="str">
        <v>Insurance</v>
      </c>
      <c r="C15" s="48">
        <v>13000</v>
      </c>
      <c r="D15" s="79">
        <f>SUM(C56:INDEX(C56:N56,IndexMonth))</f>
        <v>0</v>
      </c>
      <c r="E15" s="48">
        <v>0</v>
      </c>
      <c r="F15" s="80">
        <f t="shared" si="0"/>
        <v>13000</v>
      </c>
      <c r="G15" s="81">
        <f t="shared" si="3"/>
        <v>0</v>
      </c>
      <c r="H15" s="79">
        <f t="shared" si="4"/>
        <v>0</v>
      </c>
      <c r="I15" s="80">
        <v>0</v>
      </c>
      <c r="J15" s="82">
        <f t="shared" si="5"/>
        <v>0</v>
      </c>
      <c r="K15" s="48">
        <f t="shared" si="1"/>
        <v>0</v>
      </c>
      <c r="L15" s="79">
        <f>SUM(C36:INDEX(C36:N36,IndexMonth))</f>
        <v>0</v>
      </c>
      <c r="N15" s="48">
        <f t="shared" si="6"/>
        <v>0</v>
      </c>
      <c r="P15" s="48">
        <f t="shared" si="2"/>
        <v>13000</v>
      </c>
    </row>
    <row r="16" spans="1:18" x14ac:dyDescent="0.25">
      <c r="B16" s="73" t="str">
        <v>Specific Assistance to Individuals</v>
      </c>
      <c r="C16" s="48">
        <v>5000</v>
      </c>
      <c r="D16" s="79">
        <f>SUM(C57:INDEX(C57:N57,IndexMonth))</f>
        <v>0</v>
      </c>
      <c r="E16" s="48">
        <v>1400</v>
      </c>
      <c r="F16" s="80">
        <f t="shared" si="0"/>
        <v>6400</v>
      </c>
      <c r="G16" s="81">
        <f t="shared" si="3"/>
        <v>0</v>
      </c>
      <c r="H16" s="79">
        <f t="shared" si="4"/>
        <v>0</v>
      </c>
      <c r="I16" s="80">
        <v>0</v>
      </c>
      <c r="J16" s="82">
        <f t="shared" si="5"/>
        <v>0</v>
      </c>
      <c r="K16" s="48">
        <f t="shared" si="1"/>
        <v>0</v>
      </c>
      <c r="L16" s="79">
        <f>SUM(C37:INDEX(C37:N37,IndexMonth))</f>
        <v>0</v>
      </c>
      <c r="N16" s="48">
        <f t="shared" si="6"/>
        <v>1400</v>
      </c>
      <c r="P16" s="48">
        <f t="shared" si="2"/>
        <v>5000</v>
      </c>
    </row>
    <row r="17" spans="2:16" x14ac:dyDescent="0.25">
      <c r="B17" s="73" t="str">
        <v>Depreciation</v>
      </c>
      <c r="C17" s="48">
        <v>5000</v>
      </c>
      <c r="D17" s="79">
        <f>SUM(C58:INDEX(C58:N58,IndexMonth))</f>
        <v>0</v>
      </c>
      <c r="E17" s="48">
        <v>0</v>
      </c>
      <c r="F17" s="80">
        <f t="shared" si="0"/>
        <v>5000</v>
      </c>
      <c r="G17" s="81">
        <f t="shared" si="3"/>
        <v>0</v>
      </c>
      <c r="H17" s="79">
        <f t="shared" si="4"/>
        <v>0</v>
      </c>
      <c r="I17" s="80">
        <v>0</v>
      </c>
      <c r="J17" s="82">
        <f t="shared" si="5"/>
        <v>0</v>
      </c>
      <c r="K17" s="48">
        <f t="shared" si="1"/>
        <v>0</v>
      </c>
      <c r="L17" s="79">
        <f>SUM(C38:INDEX(C38:N38,IndexMonth))</f>
        <v>0</v>
      </c>
      <c r="N17" s="48">
        <f t="shared" si="6"/>
        <v>0</v>
      </c>
      <c r="P17" s="48">
        <f t="shared" si="2"/>
        <v>5000</v>
      </c>
    </row>
    <row r="18" spans="2:16" x14ac:dyDescent="0.25">
      <c r="B18" s="73" t="str">
        <v>Other Non_Personnel</v>
      </c>
      <c r="C18" s="48">
        <v>6000</v>
      </c>
      <c r="D18" s="79">
        <f>SUM(C59:INDEX(C59:N59,IndexMonth))</f>
        <v>0</v>
      </c>
      <c r="E18" s="48">
        <v>1400</v>
      </c>
      <c r="F18" s="80">
        <f t="shared" si="0"/>
        <v>7400</v>
      </c>
      <c r="G18" s="81">
        <f t="shared" si="3"/>
        <v>0</v>
      </c>
      <c r="H18" s="79">
        <f t="shared" si="4"/>
        <v>0</v>
      </c>
      <c r="I18" s="80">
        <v>0</v>
      </c>
      <c r="J18" s="82">
        <f t="shared" si="5"/>
        <v>0</v>
      </c>
      <c r="K18" s="48">
        <f t="shared" si="1"/>
        <v>0</v>
      </c>
      <c r="L18" s="79">
        <f>SUM(C39:INDEX(C39:N39,IndexMonth))</f>
        <v>0</v>
      </c>
      <c r="N18" s="48">
        <f t="shared" si="6"/>
        <v>1400</v>
      </c>
      <c r="P18" s="48">
        <f t="shared" si="2"/>
        <v>6000</v>
      </c>
    </row>
    <row r="19" spans="2:16" x14ac:dyDescent="0.25">
      <c r="B19" s="73" t="str">
        <v>Indirect Cost / Adm. Exp. / M&amp;G</v>
      </c>
      <c r="C19" s="50">
        <v>8000</v>
      </c>
      <c r="D19" s="83">
        <f>SUM(C60:INDEX(C60:N60,IndexMonth))</f>
        <v>0</v>
      </c>
      <c r="E19" s="50">
        <v>1900</v>
      </c>
      <c r="F19" s="84">
        <f t="shared" si="0"/>
        <v>9900</v>
      </c>
      <c r="G19" s="85">
        <f t="shared" si="3"/>
        <v>0</v>
      </c>
      <c r="H19" s="83">
        <f t="shared" si="4"/>
        <v>0</v>
      </c>
      <c r="I19" s="84">
        <v>0</v>
      </c>
      <c r="J19" s="86">
        <f t="shared" si="5"/>
        <v>0</v>
      </c>
      <c r="K19" s="50">
        <f t="shared" si="1"/>
        <v>0</v>
      </c>
      <c r="L19" s="83">
        <f>SUM(C40:INDEX(C40:N40,IndexMonth))</f>
        <v>0</v>
      </c>
      <c r="N19" s="50">
        <f t="shared" si="6"/>
        <v>1900</v>
      </c>
      <c r="P19" s="50">
        <f t="shared" si="2"/>
        <v>8000</v>
      </c>
    </row>
    <row r="20" spans="2:16" x14ac:dyDescent="0.25">
      <c r="B20" s="87" t="s">
        <v>51</v>
      </c>
      <c r="C20" s="88">
        <f t="shared" ref="C20:P20" si="7">SUM(C5:C19)</f>
        <v>122000</v>
      </c>
      <c r="D20" s="88">
        <f t="shared" si="7"/>
        <v>0</v>
      </c>
      <c r="E20" s="88">
        <f t="shared" si="7"/>
        <v>14000</v>
      </c>
      <c r="F20" s="88">
        <f t="shared" si="7"/>
        <v>136000</v>
      </c>
      <c r="G20" s="88">
        <f t="shared" si="7"/>
        <v>0</v>
      </c>
      <c r="H20" s="88">
        <f t="shared" si="7"/>
        <v>0</v>
      </c>
      <c r="I20" s="88">
        <f t="shared" si="7"/>
        <v>0</v>
      </c>
      <c r="J20" s="88">
        <f t="shared" si="7"/>
        <v>0</v>
      </c>
      <c r="K20" s="88">
        <f t="shared" si="7"/>
        <v>0</v>
      </c>
      <c r="L20" s="88">
        <f t="shared" si="7"/>
        <v>0</v>
      </c>
      <c r="N20" s="88">
        <f t="shared" si="7"/>
        <v>14000</v>
      </c>
      <c r="P20" s="88">
        <f t="shared" si="7"/>
        <v>122000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5"/>
      <c r="D66" s="216"/>
      <c r="E66" s="216"/>
      <c r="F66" s="216"/>
      <c r="G66" s="216"/>
      <c r="H66" s="216"/>
      <c r="I66" s="216"/>
      <c r="J66" s="216"/>
      <c r="K66" s="216"/>
      <c r="L66" s="216"/>
      <c r="M66" s="216"/>
      <c r="N66" s="216"/>
      <c r="O66" s="216"/>
      <c r="P66" s="217"/>
    </row>
    <row r="67" spans="2:16" x14ac:dyDescent="0.25">
      <c r="B67" s="73" t="str">
        <v>Benefits &amp; Taxes</v>
      </c>
      <c r="C67" s="215"/>
      <c r="D67" s="216"/>
      <c r="E67" s="216"/>
      <c r="F67" s="216"/>
      <c r="G67" s="216"/>
      <c r="H67" s="216"/>
      <c r="I67" s="216"/>
      <c r="J67" s="216"/>
      <c r="K67" s="216"/>
      <c r="L67" s="216"/>
      <c r="M67" s="216"/>
      <c r="N67" s="216"/>
      <c r="O67" s="216"/>
      <c r="P67" s="217"/>
    </row>
    <row r="68" spans="2:16" x14ac:dyDescent="0.25">
      <c r="B68" s="73" t="str">
        <v>Professional Fee / Grant &amp; Award</v>
      </c>
      <c r="C68" s="215"/>
      <c r="D68" s="216"/>
      <c r="E68" s="216"/>
      <c r="F68" s="216"/>
      <c r="G68" s="216"/>
      <c r="H68" s="216"/>
      <c r="I68" s="216"/>
      <c r="J68" s="216"/>
      <c r="K68" s="216"/>
      <c r="L68" s="216"/>
      <c r="M68" s="216"/>
      <c r="N68" s="216"/>
      <c r="O68" s="216"/>
      <c r="P68" s="217"/>
    </row>
    <row r="69" spans="2:16" x14ac:dyDescent="0.25">
      <c r="B69" s="73" t="str">
        <v>Supplies</v>
      </c>
      <c r="C69" s="215"/>
      <c r="D69" s="216"/>
      <c r="E69" s="216"/>
      <c r="F69" s="216"/>
      <c r="G69" s="216"/>
      <c r="H69" s="216"/>
      <c r="I69" s="216"/>
      <c r="J69" s="216"/>
      <c r="K69" s="216"/>
      <c r="L69" s="216"/>
      <c r="M69" s="216"/>
      <c r="N69" s="216"/>
      <c r="O69" s="216"/>
      <c r="P69" s="217"/>
    </row>
    <row r="70" spans="2:16" x14ac:dyDescent="0.25">
      <c r="B70" s="73" t="str">
        <v>Telephone</v>
      </c>
      <c r="C70" s="215"/>
      <c r="D70" s="216"/>
      <c r="E70" s="216"/>
      <c r="F70" s="216"/>
      <c r="G70" s="216"/>
      <c r="H70" s="216"/>
      <c r="I70" s="216"/>
      <c r="J70" s="216"/>
      <c r="K70" s="216"/>
      <c r="L70" s="216"/>
      <c r="M70" s="216"/>
      <c r="N70" s="216"/>
      <c r="O70" s="216"/>
      <c r="P70" s="217"/>
    </row>
    <row r="71" spans="2:16" x14ac:dyDescent="0.25">
      <c r="B71" s="73" t="str">
        <v>Postage &amp; Shipping</v>
      </c>
      <c r="C71" s="215"/>
      <c r="D71" s="216"/>
      <c r="E71" s="216"/>
      <c r="F71" s="216"/>
      <c r="G71" s="216"/>
      <c r="H71" s="216"/>
      <c r="I71" s="216"/>
      <c r="J71" s="216"/>
      <c r="K71" s="216"/>
      <c r="L71" s="216"/>
      <c r="M71" s="216"/>
      <c r="N71" s="216"/>
      <c r="O71" s="216"/>
      <c r="P71" s="217"/>
    </row>
    <row r="72" spans="2:16" x14ac:dyDescent="0.25">
      <c r="B72" s="73" t="str">
        <v>Occupancy</v>
      </c>
      <c r="C72" s="215"/>
      <c r="D72" s="216"/>
      <c r="E72" s="216"/>
      <c r="F72" s="216"/>
      <c r="G72" s="216"/>
      <c r="H72" s="216"/>
      <c r="I72" s="216"/>
      <c r="J72" s="216"/>
      <c r="K72" s="216"/>
      <c r="L72" s="216"/>
      <c r="M72" s="216"/>
      <c r="N72" s="216"/>
      <c r="O72" s="216"/>
      <c r="P72" s="217"/>
    </row>
    <row r="73" spans="2:16" x14ac:dyDescent="0.25">
      <c r="B73" s="73" t="str">
        <v>Equipment Rental &amp; Maintenance</v>
      </c>
      <c r="C73" s="215"/>
      <c r="D73" s="216"/>
      <c r="E73" s="216"/>
      <c r="F73" s="216"/>
      <c r="G73" s="216"/>
      <c r="H73" s="216"/>
      <c r="I73" s="216"/>
      <c r="J73" s="216"/>
      <c r="K73" s="216"/>
      <c r="L73" s="216"/>
      <c r="M73" s="216"/>
      <c r="N73" s="216"/>
      <c r="O73" s="216"/>
      <c r="P73" s="217"/>
    </row>
    <row r="74" spans="2:16" x14ac:dyDescent="0.25">
      <c r="B74" s="73" t="str">
        <v>Printing &amp; Publications</v>
      </c>
      <c r="C74" s="215"/>
      <c r="D74" s="216"/>
      <c r="E74" s="216"/>
      <c r="F74" s="216"/>
      <c r="G74" s="216"/>
      <c r="H74" s="216"/>
      <c r="I74" s="216"/>
      <c r="J74" s="216"/>
      <c r="K74" s="216"/>
      <c r="L74" s="216"/>
      <c r="M74" s="216"/>
      <c r="N74" s="216"/>
      <c r="O74" s="216"/>
      <c r="P74" s="217"/>
    </row>
    <row r="75" spans="2:16" x14ac:dyDescent="0.25">
      <c r="B75" s="73" t="str">
        <v>Travel / Conferences &amp; Meetings</v>
      </c>
      <c r="C75" s="215"/>
      <c r="D75" s="216"/>
      <c r="E75" s="216"/>
      <c r="F75" s="216"/>
      <c r="G75" s="216"/>
      <c r="H75" s="216"/>
      <c r="I75" s="216"/>
      <c r="J75" s="216"/>
      <c r="K75" s="216"/>
      <c r="L75" s="216"/>
      <c r="M75" s="216"/>
      <c r="N75" s="216"/>
      <c r="O75" s="216"/>
      <c r="P75" s="217"/>
    </row>
    <row r="76" spans="2:16" x14ac:dyDescent="0.25">
      <c r="B76" s="73" t="str">
        <v>Insurance</v>
      </c>
      <c r="C76" s="215"/>
      <c r="D76" s="216"/>
      <c r="E76" s="216"/>
      <c r="F76" s="216"/>
      <c r="G76" s="216"/>
      <c r="H76" s="216"/>
      <c r="I76" s="216"/>
      <c r="J76" s="216"/>
      <c r="K76" s="216"/>
      <c r="L76" s="216"/>
      <c r="M76" s="216"/>
      <c r="N76" s="216"/>
      <c r="O76" s="216"/>
      <c r="P76" s="217"/>
    </row>
    <row r="77" spans="2:16" x14ac:dyDescent="0.25">
      <c r="B77" s="73" t="str">
        <v>Specific Assistance to Individuals</v>
      </c>
      <c r="C77" s="215"/>
      <c r="D77" s="216"/>
      <c r="E77" s="216"/>
      <c r="F77" s="216"/>
      <c r="G77" s="216"/>
      <c r="H77" s="216"/>
      <c r="I77" s="216"/>
      <c r="J77" s="216"/>
      <c r="K77" s="216"/>
      <c r="L77" s="216"/>
      <c r="M77" s="216"/>
      <c r="N77" s="216"/>
      <c r="O77" s="216"/>
      <c r="P77" s="217"/>
    </row>
    <row r="78" spans="2:16" x14ac:dyDescent="0.25">
      <c r="B78" s="73" t="str">
        <v>Depreciation</v>
      </c>
      <c r="C78" s="215"/>
      <c r="D78" s="216"/>
      <c r="E78" s="216"/>
      <c r="F78" s="216"/>
      <c r="G78" s="216"/>
      <c r="H78" s="216"/>
      <c r="I78" s="216"/>
      <c r="J78" s="216"/>
      <c r="K78" s="216"/>
      <c r="L78" s="216"/>
      <c r="M78" s="216"/>
      <c r="N78" s="216"/>
      <c r="O78" s="216"/>
      <c r="P78" s="217"/>
    </row>
    <row r="79" spans="2:16" x14ac:dyDescent="0.25">
      <c r="B79" s="73" t="str">
        <v>Other Non_Personnel</v>
      </c>
      <c r="C79" s="215"/>
      <c r="D79" s="216"/>
      <c r="E79" s="216"/>
      <c r="F79" s="216"/>
      <c r="G79" s="216"/>
      <c r="H79" s="216"/>
      <c r="I79" s="216"/>
      <c r="J79" s="216"/>
      <c r="K79" s="216"/>
      <c r="L79" s="216"/>
      <c r="M79" s="216"/>
      <c r="N79" s="216"/>
      <c r="O79" s="216"/>
      <c r="P79" s="217"/>
    </row>
    <row r="80" spans="2:16" x14ac:dyDescent="0.25">
      <c r="B80" s="73" t="str">
        <v>Indirect Cost / Adm. Exp. / M&amp;G</v>
      </c>
      <c r="C80" s="215"/>
      <c r="D80" s="216"/>
      <c r="E80" s="216"/>
      <c r="F80" s="216"/>
      <c r="G80" s="216"/>
      <c r="H80" s="216"/>
      <c r="I80" s="216"/>
      <c r="J80" s="216"/>
      <c r="K80" s="216"/>
      <c r="L80" s="216"/>
      <c r="M80" s="216"/>
      <c r="N80" s="216"/>
      <c r="O80" s="216"/>
      <c r="P80" s="217"/>
    </row>
    <row r="81" x14ac:dyDescent="0.25"/>
  </sheetData>
  <sheetProtection algorithmName="SHA-512" hashValue="h/RmIVXU3wPlXnNz/NFv9l85Cnrw5kD9uRXgCigFKnEqFVoPaFiWwcLZsIBzVBDAhE2AP8Hfi7PAWu6F3BFylg==" saltValue="Cxu76x2vwdQWGwcCME1dLA==" spinCount="100000" sheet="1" objects="1" scenarios="1"/>
  <mergeCells count="16">
    <mergeCell ref="C80:P80"/>
    <mergeCell ref="C74:P74"/>
    <mergeCell ref="C75:P75"/>
    <mergeCell ref="C76:P76"/>
    <mergeCell ref="C77:P77"/>
    <mergeCell ref="C78:P78"/>
    <mergeCell ref="C70:P70"/>
    <mergeCell ref="C71:P71"/>
    <mergeCell ref="C72:P72"/>
    <mergeCell ref="C73:P73"/>
    <mergeCell ref="C79:P79"/>
    <mergeCell ref="C42:L43"/>
    <mergeCell ref="C66:P66"/>
    <mergeCell ref="C67:P67"/>
    <mergeCell ref="C68:P68"/>
    <mergeCell ref="C69:P69"/>
  </mergeCells>
  <conditionalFormatting sqref="C26:N40 C46:N60">
    <cfRule type="expression" dxfId="36" priority="4">
      <formula>C$24&gt;InvoiceMonth</formula>
    </cfRule>
    <cfRule type="expression" dxfId="35" priority="5">
      <formula>C$24&lt;InvoiceMonth</formula>
    </cfRule>
  </conditionalFormatting>
  <conditionalFormatting sqref="C26:N40">
    <cfRule type="expression" dxfId="34"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FAC18E68-D95B-4891-8DD9-EA50C4EA6653}">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1DB32A8F-DADD-428D-9C20-22A8328382C8}">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A8779-9E94-4A2D-A4D2-244D2D965E9A}">
  <sheetPr codeName="Sheet6"/>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2</v>
      </c>
      <c r="B1" s="58" t="str">
        <f>INDEX(Domains,A1,3)</f>
        <v>Education and Cognitive Development</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1600</v>
      </c>
      <c r="F5" s="75">
        <f t="shared" ref="F5:F19" si="0">C5+E5+D5</f>
        <v>1600</v>
      </c>
      <c r="G5" s="76">
        <f>I5-H5</f>
        <v>0</v>
      </c>
      <c r="H5" s="74">
        <f t="shared" ref="H5:H19" si="1">MIN(I5,MAX(0,E5-L5+I5))</f>
        <v>0</v>
      </c>
      <c r="I5" s="75">
        <f t="array" ref="I5:I19">INDEX(C26:N40,,IndexMonth)</f>
        <v>0</v>
      </c>
      <c r="J5" s="77">
        <f>L5-K5</f>
        <v>0</v>
      </c>
      <c r="K5" s="46">
        <f t="shared" ref="K5:K19" si="2">MIN(E5,L5)</f>
        <v>0</v>
      </c>
      <c r="L5" s="74">
        <f>SUM(C26:INDEX(C26:N26,IndexMonth))</f>
        <v>0</v>
      </c>
      <c r="N5" s="46">
        <f>E5-K5</f>
        <v>1600</v>
      </c>
      <c r="P5" s="46">
        <f t="shared" ref="P5:P19" si="3">MAX(0,SUM(C5:D5)-J5)</f>
        <v>0</v>
      </c>
      <c r="R5" s="78"/>
    </row>
    <row r="6" spans="1:18" x14ac:dyDescent="0.25">
      <c r="B6" s="73" t="str">
        <v>Benefits &amp; Taxes</v>
      </c>
      <c r="C6" s="48">
        <v>2000</v>
      </c>
      <c r="D6" s="79">
        <f>SUM(C47:INDEX(C47:N47,IndexMonth))</f>
        <v>0</v>
      </c>
      <c r="E6" s="48">
        <v>2100</v>
      </c>
      <c r="F6" s="80">
        <f t="shared" si="0"/>
        <v>4100</v>
      </c>
      <c r="G6" s="81">
        <f t="shared" ref="G6:G19" si="4">I6-H6</f>
        <v>0</v>
      </c>
      <c r="H6" s="79">
        <f t="shared" si="1"/>
        <v>0</v>
      </c>
      <c r="I6" s="80">
        <v>0</v>
      </c>
      <c r="J6" s="82">
        <f t="shared" ref="J6:J19" si="5">L6-K6</f>
        <v>0</v>
      </c>
      <c r="K6" s="48">
        <f t="shared" si="2"/>
        <v>0</v>
      </c>
      <c r="L6" s="79">
        <f>SUM(C27:INDEX(C27:N27,IndexMonth))</f>
        <v>0</v>
      </c>
      <c r="N6" s="48">
        <f t="shared" ref="N6:N19" si="6">E6-K6</f>
        <v>2100</v>
      </c>
      <c r="P6" s="48">
        <f t="shared" si="3"/>
        <v>2000</v>
      </c>
    </row>
    <row r="7" spans="1:18" x14ac:dyDescent="0.25">
      <c r="B7" s="73" t="str">
        <v>Professional Fee / Grant &amp; Award</v>
      </c>
      <c r="C7" s="48">
        <v>6000</v>
      </c>
      <c r="D7" s="79">
        <f>SUM(C48:INDEX(C48:N48,IndexMonth))</f>
        <v>0</v>
      </c>
      <c r="E7" s="48">
        <v>500</v>
      </c>
      <c r="F7" s="80">
        <f t="shared" si="0"/>
        <v>6500</v>
      </c>
      <c r="G7" s="81">
        <f t="shared" si="4"/>
        <v>0</v>
      </c>
      <c r="H7" s="79">
        <f t="shared" si="1"/>
        <v>0</v>
      </c>
      <c r="I7" s="80">
        <v>0</v>
      </c>
      <c r="J7" s="82">
        <f t="shared" si="5"/>
        <v>0</v>
      </c>
      <c r="K7" s="48">
        <f t="shared" si="2"/>
        <v>0</v>
      </c>
      <c r="L7" s="79">
        <f>SUM(C28:INDEX(C28:N28,IndexMonth))</f>
        <v>0</v>
      </c>
      <c r="N7" s="48">
        <f t="shared" si="6"/>
        <v>500</v>
      </c>
      <c r="P7" s="48">
        <f t="shared" si="3"/>
        <v>6000</v>
      </c>
    </row>
    <row r="8" spans="1:18" x14ac:dyDescent="0.25">
      <c r="B8" s="73" t="str">
        <v>Supplies</v>
      </c>
      <c r="C8" s="48">
        <v>9000</v>
      </c>
      <c r="D8" s="79">
        <f>SUM(C49:INDEX(C49:N49,IndexMonth))</f>
        <v>0</v>
      </c>
      <c r="E8" s="48">
        <v>0</v>
      </c>
      <c r="F8" s="80">
        <f t="shared" si="0"/>
        <v>9000</v>
      </c>
      <c r="G8" s="81">
        <f t="shared" si="4"/>
        <v>0</v>
      </c>
      <c r="H8" s="79">
        <f t="shared" si="1"/>
        <v>0</v>
      </c>
      <c r="I8" s="80">
        <v>0</v>
      </c>
      <c r="J8" s="82">
        <f t="shared" si="5"/>
        <v>0</v>
      </c>
      <c r="K8" s="48">
        <f t="shared" si="2"/>
        <v>0</v>
      </c>
      <c r="L8" s="79">
        <f>SUM(C29:INDEX(C29:N29,IndexMonth))</f>
        <v>0</v>
      </c>
      <c r="N8" s="48">
        <f t="shared" si="6"/>
        <v>0</v>
      </c>
      <c r="P8" s="48">
        <f t="shared" si="3"/>
        <v>9000</v>
      </c>
    </row>
    <row r="9" spans="1:18" x14ac:dyDescent="0.25">
      <c r="B9" s="73" t="str">
        <v>Telephone</v>
      </c>
      <c r="C9" s="48">
        <v>15000</v>
      </c>
      <c r="D9" s="79">
        <f>SUM(C50:INDEX(C50:N50,IndexMonth))</f>
        <v>0</v>
      </c>
      <c r="E9" s="48">
        <v>0</v>
      </c>
      <c r="F9" s="80">
        <f t="shared" si="0"/>
        <v>15000</v>
      </c>
      <c r="G9" s="81">
        <f t="shared" si="4"/>
        <v>0</v>
      </c>
      <c r="H9" s="79">
        <f t="shared" si="1"/>
        <v>0</v>
      </c>
      <c r="I9" s="80">
        <v>0</v>
      </c>
      <c r="J9" s="82">
        <f t="shared" si="5"/>
        <v>0</v>
      </c>
      <c r="K9" s="48">
        <f t="shared" si="2"/>
        <v>0</v>
      </c>
      <c r="L9" s="79">
        <f>SUM(C30:INDEX(C30:N30,IndexMonth))</f>
        <v>0</v>
      </c>
      <c r="N9" s="48">
        <f t="shared" si="6"/>
        <v>0</v>
      </c>
      <c r="P9" s="48">
        <f t="shared" si="3"/>
        <v>15000</v>
      </c>
    </row>
    <row r="10" spans="1:18" x14ac:dyDescent="0.25">
      <c r="B10" s="73" t="str">
        <v>Postage &amp; Shipping</v>
      </c>
      <c r="C10" s="48">
        <v>7000</v>
      </c>
      <c r="D10" s="79">
        <f>SUM(C51:INDEX(C51:N51,IndexMonth))</f>
        <v>0</v>
      </c>
      <c r="E10" s="48">
        <v>1300</v>
      </c>
      <c r="F10" s="80">
        <f t="shared" si="0"/>
        <v>8300</v>
      </c>
      <c r="G10" s="81">
        <f t="shared" si="4"/>
        <v>0</v>
      </c>
      <c r="H10" s="79">
        <f t="shared" si="1"/>
        <v>0</v>
      </c>
      <c r="I10" s="80">
        <v>0</v>
      </c>
      <c r="J10" s="82">
        <f t="shared" si="5"/>
        <v>0</v>
      </c>
      <c r="K10" s="48">
        <f t="shared" si="2"/>
        <v>0</v>
      </c>
      <c r="L10" s="79">
        <f>SUM(C31:INDEX(C31:N31,IndexMonth))</f>
        <v>0</v>
      </c>
      <c r="N10" s="48">
        <f t="shared" si="6"/>
        <v>1300</v>
      </c>
      <c r="P10" s="48">
        <f t="shared" si="3"/>
        <v>7000</v>
      </c>
    </row>
    <row r="11" spans="1:18" x14ac:dyDescent="0.25">
      <c r="B11" s="73" t="str">
        <v>Occupancy</v>
      </c>
      <c r="C11" s="48">
        <v>7000</v>
      </c>
      <c r="D11" s="79">
        <f>SUM(C52:INDEX(C52:N52,IndexMonth))</f>
        <v>0</v>
      </c>
      <c r="E11" s="48">
        <v>500</v>
      </c>
      <c r="F11" s="80">
        <f t="shared" si="0"/>
        <v>7500</v>
      </c>
      <c r="G11" s="81">
        <f t="shared" si="4"/>
        <v>0</v>
      </c>
      <c r="H11" s="79">
        <f t="shared" si="1"/>
        <v>0</v>
      </c>
      <c r="I11" s="80">
        <v>0</v>
      </c>
      <c r="J11" s="82">
        <f t="shared" si="5"/>
        <v>0</v>
      </c>
      <c r="K11" s="48">
        <f t="shared" si="2"/>
        <v>0</v>
      </c>
      <c r="L11" s="79">
        <f>SUM(C32:INDEX(C32:N32,IndexMonth))</f>
        <v>0</v>
      </c>
      <c r="N11" s="48">
        <f t="shared" si="6"/>
        <v>500</v>
      </c>
      <c r="P11" s="48">
        <f t="shared" si="3"/>
        <v>7000</v>
      </c>
    </row>
    <row r="12" spans="1:18" x14ac:dyDescent="0.25">
      <c r="B12" s="73" t="str">
        <v>Equipment Rental &amp; Maintenance</v>
      </c>
      <c r="C12" s="48">
        <v>12000</v>
      </c>
      <c r="D12" s="79">
        <f>SUM(C53:INDEX(C53:N53,IndexMonth))</f>
        <v>0</v>
      </c>
      <c r="E12" s="48">
        <v>0</v>
      </c>
      <c r="F12" s="80">
        <f t="shared" si="0"/>
        <v>12000</v>
      </c>
      <c r="G12" s="81">
        <f t="shared" si="4"/>
        <v>0</v>
      </c>
      <c r="H12" s="79">
        <f t="shared" si="1"/>
        <v>0</v>
      </c>
      <c r="I12" s="80">
        <v>0</v>
      </c>
      <c r="J12" s="82">
        <f t="shared" si="5"/>
        <v>0</v>
      </c>
      <c r="K12" s="48">
        <f t="shared" si="2"/>
        <v>0</v>
      </c>
      <c r="L12" s="79">
        <f>SUM(C33:INDEX(C33:N33,IndexMonth))</f>
        <v>0</v>
      </c>
      <c r="N12" s="48">
        <f t="shared" si="6"/>
        <v>0</v>
      </c>
      <c r="P12" s="48">
        <f t="shared" si="3"/>
        <v>12000</v>
      </c>
    </row>
    <row r="13" spans="1:18" x14ac:dyDescent="0.25">
      <c r="B13" s="73" t="str">
        <v>Printing &amp; Publications</v>
      </c>
      <c r="C13" s="48">
        <v>10000</v>
      </c>
      <c r="D13" s="79">
        <f>SUM(C54:INDEX(C54:N54,IndexMonth))</f>
        <v>0</v>
      </c>
      <c r="E13" s="48">
        <v>0</v>
      </c>
      <c r="F13" s="80">
        <f t="shared" si="0"/>
        <v>10000</v>
      </c>
      <c r="G13" s="81">
        <f t="shared" si="4"/>
        <v>0</v>
      </c>
      <c r="H13" s="79">
        <f t="shared" si="1"/>
        <v>0</v>
      </c>
      <c r="I13" s="80">
        <v>0</v>
      </c>
      <c r="J13" s="82">
        <f t="shared" si="5"/>
        <v>0</v>
      </c>
      <c r="K13" s="48">
        <f t="shared" si="2"/>
        <v>0</v>
      </c>
      <c r="L13" s="79">
        <f>SUM(C34:INDEX(C34:N34,IndexMonth))</f>
        <v>0</v>
      </c>
      <c r="N13" s="48">
        <f t="shared" si="6"/>
        <v>0</v>
      </c>
      <c r="P13" s="48">
        <f t="shared" si="3"/>
        <v>10000</v>
      </c>
    </row>
    <row r="14" spans="1:18" x14ac:dyDescent="0.25">
      <c r="B14" s="73" t="str">
        <v>Travel / Conferences &amp; Meetings</v>
      </c>
      <c r="C14" s="48">
        <v>13000</v>
      </c>
      <c r="D14" s="79">
        <f>SUM(C55:INDEX(C55:N55,IndexMonth))</f>
        <v>0</v>
      </c>
      <c r="E14" s="48">
        <v>1000</v>
      </c>
      <c r="F14" s="80">
        <f t="shared" si="0"/>
        <v>14000</v>
      </c>
      <c r="G14" s="81">
        <f t="shared" si="4"/>
        <v>0</v>
      </c>
      <c r="H14" s="79">
        <f t="shared" si="1"/>
        <v>0</v>
      </c>
      <c r="I14" s="80">
        <v>0</v>
      </c>
      <c r="J14" s="82">
        <f t="shared" si="5"/>
        <v>0</v>
      </c>
      <c r="K14" s="48">
        <f t="shared" si="2"/>
        <v>0</v>
      </c>
      <c r="L14" s="79">
        <f>SUM(C35:INDEX(C35:N35,IndexMonth))</f>
        <v>0</v>
      </c>
      <c r="N14" s="48">
        <f t="shared" si="6"/>
        <v>1000</v>
      </c>
      <c r="P14" s="48">
        <f t="shared" si="3"/>
        <v>13000</v>
      </c>
    </row>
    <row r="15" spans="1:18" x14ac:dyDescent="0.25">
      <c r="B15" s="73" t="str">
        <v>Insurance</v>
      </c>
      <c r="C15" s="48">
        <v>6000</v>
      </c>
      <c r="D15" s="79">
        <f>SUM(C56:INDEX(C56:N56,IndexMonth))</f>
        <v>0</v>
      </c>
      <c r="E15" s="48">
        <v>0</v>
      </c>
      <c r="F15" s="80">
        <f t="shared" si="0"/>
        <v>6000</v>
      </c>
      <c r="G15" s="81">
        <f t="shared" si="4"/>
        <v>0</v>
      </c>
      <c r="H15" s="79">
        <f t="shared" si="1"/>
        <v>0</v>
      </c>
      <c r="I15" s="80">
        <v>0</v>
      </c>
      <c r="J15" s="82">
        <f t="shared" si="5"/>
        <v>0</v>
      </c>
      <c r="K15" s="48">
        <f t="shared" si="2"/>
        <v>0</v>
      </c>
      <c r="L15" s="79">
        <f>SUM(C36:INDEX(C36:N36,IndexMonth))</f>
        <v>0</v>
      </c>
      <c r="N15" s="48">
        <f t="shared" si="6"/>
        <v>0</v>
      </c>
      <c r="P15" s="48">
        <f t="shared" si="3"/>
        <v>6000</v>
      </c>
    </row>
    <row r="16" spans="1:18" x14ac:dyDescent="0.25">
      <c r="B16" s="73" t="str">
        <v>Specific Assistance to Individuals</v>
      </c>
      <c r="C16" s="48">
        <v>5000</v>
      </c>
      <c r="D16" s="79">
        <f>SUM(C57:INDEX(C57:N57,IndexMonth))</f>
        <v>0</v>
      </c>
      <c r="E16" s="48">
        <v>600</v>
      </c>
      <c r="F16" s="80">
        <f t="shared" si="0"/>
        <v>5600</v>
      </c>
      <c r="G16" s="81">
        <f t="shared" si="4"/>
        <v>0</v>
      </c>
      <c r="H16" s="79">
        <f t="shared" si="1"/>
        <v>0</v>
      </c>
      <c r="I16" s="80">
        <v>0</v>
      </c>
      <c r="J16" s="82">
        <f t="shared" si="5"/>
        <v>0</v>
      </c>
      <c r="K16" s="48">
        <f t="shared" si="2"/>
        <v>0</v>
      </c>
      <c r="L16" s="79">
        <f>SUM(C37:INDEX(C37:N37,IndexMonth))</f>
        <v>0</v>
      </c>
      <c r="N16" s="48">
        <f t="shared" si="6"/>
        <v>600</v>
      </c>
      <c r="P16" s="48">
        <f t="shared" si="3"/>
        <v>5000</v>
      </c>
    </row>
    <row r="17" spans="2:16" x14ac:dyDescent="0.25">
      <c r="B17" s="73" t="str">
        <v>Depreciation</v>
      </c>
      <c r="C17" s="48">
        <v>8000</v>
      </c>
      <c r="D17" s="79">
        <f>SUM(C58:INDEX(C58:N58,IndexMonth))</f>
        <v>0</v>
      </c>
      <c r="E17" s="48">
        <v>0</v>
      </c>
      <c r="F17" s="80">
        <f t="shared" si="0"/>
        <v>8000</v>
      </c>
      <c r="G17" s="81">
        <f t="shared" si="4"/>
        <v>0</v>
      </c>
      <c r="H17" s="79">
        <f t="shared" si="1"/>
        <v>0</v>
      </c>
      <c r="I17" s="80">
        <v>0</v>
      </c>
      <c r="J17" s="82">
        <f t="shared" si="5"/>
        <v>0</v>
      </c>
      <c r="K17" s="48">
        <f t="shared" si="2"/>
        <v>0</v>
      </c>
      <c r="L17" s="79">
        <f>SUM(C38:INDEX(C38:N38,IndexMonth))</f>
        <v>0</v>
      </c>
      <c r="N17" s="48">
        <f t="shared" si="6"/>
        <v>0</v>
      </c>
      <c r="P17" s="48">
        <f t="shared" si="3"/>
        <v>8000</v>
      </c>
    </row>
    <row r="18" spans="2:16" x14ac:dyDescent="0.25">
      <c r="B18" s="73" t="str">
        <v>Other Non_Personnel</v>
      </c>
      <c r="C18" s="48">
        <v>11000</v>
      </c>
      <c r="D18" s="79">
        <f>SUM(C59:INDEX(C59:N59,IndexMonth))</f>
        <v>0</v>
      </c>
      <c r="E18" s="48">
        <v>1600</v>
      </c>
      <c r="F18" s="80">
        <f t="shared" si="0"/>
        <v>12600</v>
      </c>
      <c r="G18" s="81">
        <f t="shared" si="4"/>
        <v>0</v>
      </c>
      <c r="H18" s="79">
        <f t="shared" si="1"/>
        <v>0</v>
      </c>
      <c r="I18" s="80">
        <v>0</v>
      </c>
      <c r="J18" s="82">
        <f t="shared" si="5"/>
        <v>0</v>
      </c>
      <c r="K18" s="48">
        <f t="shared" si="2"/>
        <v>0</v>
      </c>
      <c r="L18" s="79">
        <f>SUM(C39:INDEX(C39:N39,IndexMonth))</f>
        <v>0</v>
      </c>
      <c r="N18" s="48">
        <f t="shared" si="6"/>
        <v>1600</v>
      </c>
      <c r="P18" s="48">
        <f t="shared" si="3"/>
        <v>11000</v>
      </c>
    </row>
    <row r="19" spans="2:16" x14ac:dyDescent="0.25">
      <c r="B19" s="73" t="str">
        <v>Indirect Cost / Adm. Exp. / M&amp;G</v>
      </c>
      <c r="C19" s="50">
        <v>12000</v>
      </c>
      <c r="D19" s="83">
        <f>SUM(C60:INDEX(C60:N60,IndexMonth))</f>
        <v>0</v>
      </c>
      <c r="E19" s="50">
        <v>600</v>
      </c>
      <c r="F19" s="84">
        <f t="shared" si="0"/>
        <v>12600</v>
      </c>
      <c r="G19" s="85">
        <f t="shared" si="4"/>
        <v>0</v>
      </c>
      <c r="H19" s="83">
        <f t="shared" si="1"/>
        <v>0</v>
      </c>
      <c r="I19" s="84">
        <v>0</v>
      </c>
      <c r="J19" s="86">
        <f t="shared" si="5"/>
        <v>0</v>
      </c>
      <c r="K19" s="50">
        <f t="shared" si="2"/>
        <v>0</v>
      </c>
      <c r="L19" s="83">
        <f>SUM(C40:INDEX(C40:N40,IndexMonth))</f>
        <v>0</v>
      </c>
      <c r="N19" s="50">
        <f t="shared" si="6"/>
        <v>600</v>
      </c>
      <c r="P19" s="50">
        <f t="shared" si="3"/>
        <v>12000</v>
      </c>
    </row>
    <row r="20" spans="2:16" x14ac:dyDescent="0.25">
      <c r="B20" s="87" t="s">
        <v>51</v>
      </c>
      <c r="C20" s="88">
        <f t="shared" ref="C20:P20" si="7">SUM(C5:C19)</f>
        <v>123000</v>
      </c>
      <c r="D20" s="88">
        <f t="shared" si="7"/>
        <v>0</v>
      </c>
      <c r="E20" s="88">
        <f t="shared" si="7"/>
        <v>9800</v>
      </c>
      <c r="F20" s="88">
        <f t="shared" si="7"/>
        <v>132800</v>
      </c>
      <c r="G20" s="88">
        <f t="shared" si="7"/>
        <v>0</v>
      </c>
      <c r="H20" s="88">
        <f t="shared" si="7"/>
        <v>0</v>
      </c>
      <c r="I20" s="88">
        <f t="shared" si="7"/>
        <v>0</v>
      </c>
      <c r="J20" s="88">
        <f t="shared" si="7"/>
        <v>0</v>
      </c>
      <c r="K20" s="88">
        <f t="shared" si="7"/>
        <v>0</v>
      </c>
      <c r="L20" s="88">
        <f t="shared" si="7"/>
        <v>0</v>
      </c>
      <c r="N20" s="88">
        <f t="shared" si="7"/>
        <v>9800</v>
      </c>
      <c r="P20" s="88">
        <f t="shared" si="7"/>
        <v>123000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WVRuiEiR/FXOXL6CEzJnddj8davK8zQyahEZ/wz9ymD5MsTCPFF5my5uvLx9ZLNWN7RF0KRdnYiZRM/TOMTHgA==" saltValue="YDRhFl+UBFjYy8X0hUrQmQ=="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33" priority="4">
      <formula>C$24&gt;InvoiceMonth</formula>
    </cfRule>
    <cfRule type="expression" dxfId="32" priority="5">
      <formula>C$24&lt;InvoiceMonth</formula>
    </cfRule>
  </conditionalFormatting>
  <conditionalFormatting sqref="C26:N40">
    <cfRule type="expression" dxfId="31"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3DC196E0-C1C3-4E93-A4C6-FEAE8939585A}">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13D5E926-51DF-44A2-B88C-85CF766A6849}">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377F-C272-48AF-9E6D-E368A017D297}">
  <sheetPr codeName="Sheet7"/>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3</v>
      </c>
      <c r="B1" s="58" t="str">
        <f>INDEX(Domains,A1,3)</f>
        <v>Income, Infrastructure, and Asset Building</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1000</v>
      </c>
      <c r="F5" s="75">
        <f t="shared" ref="F5:F19" si="0">C5+E5+D5</f>
        <v>1000</v>
      </c>
      <c r="G5" s="76">
        <f>I5-H5</f>
        <v>0</v>
      </c>
      <c r="H5" s="74">
        <f t="shared" ref="H5:H19" si="1">MIN(I5,MAX(0,E5-L5+I5))</f>
        <v>0</v>
      </c>
      <c r="I5" s="75">
        <f t="array" ref="I5:I19">INDEX(C26:N40,,IndexMonth)</f>
        <v>0</v>
      </c>
      <c r="J5" s="77">
        <f>L5-K5</f>
        <v>0</v>
      </c>
      <c r="K5" s="46">
        <f t="shared" ref="K5:K19" si="2">MIN(E5,L5)</f>
        <v>0</v>
      </c>
      <c r="L5" s="74">
        <f>SUM(C26:INDEX(C26:N26,IndexMonth))</f>
        <v>0</v>
      </c>
      <c r="N5" s="46">
        <f>E5-K5</f>
        <v>1000</v>
      </c>
      <c r="P5" s="46">
        <f t="shared" ref="P5:P19" si="3">MAX(0,SUM(C5:D5)-J5)</f>
        <v>0</v>
      </c>
      <c r="R5" s="78"/>
    </row>
    <row r="6" spans="1:18" x14ac:dyDescent="0.25">
      <c r="B6" s="73" t="str">
        <v>Benefits &amp; Taxes</v>
      </c>
      <c r="C6" s="48">
        <v>12000</v>
      </c>
      <c r="D6" s="79">
        <f>SUM(C47:INDEX(C47:N47,IndexMonth))</f>
        <v>0</v>
      </c>
      <c r="E6" s="48">
        <v>1200</v>
      </c>
      <c r="F6" s="80">
        <f t="shared" si="0"/>
        <v>13200</v>
      </c>
      <c r="G6" s="81">
        <f t="shared" ref="G6:G19" si="4">I6-H6</f>
        <v>0</v>
      </c>
      <c r="H6" s="79">
        <f t="shared" si="1"/>
        <v>0</v>
      </c>
      <c r="I6" s="80">
        <v>0</v>
      </c>
      <c r="J6" s="82">
        <f t="shared" ref="J6:J19" si="5">L6-K6</f>
        <v>0</v>
      </c>
      <c r="K6" s="48">
        <f t="shared" si="2"/>
        <v>0</v>
      </c>
      <c r="L6" s="79">
        <f>SUM(C27:INDEX(C27:N27,IndexMonth))</f>
        <v>0</v>
      </c>
      <c r="N6" s="48">
        <f t="shared" ref="N6:N19" si="6">E6-K6</f>
        <v>1200</v>
      </c>
      <c r="P6" s="48">
        <f t="shared" si="3"/>
        <v>12000</v>
      </c>
    </row>
    <row r="7" spans="1:18" x14ac:dyDescent="0.25">
      <c r="B7" s="73" t="str">
        <v>Professional Fee / Grant &amp; Award</v>
      </c>
      <c r="C7" s="48">
        <v>12000</v>
      </c>
      <c r="D7" s="79">
        <f>SUM(C48:INDEX(C48:N48,IndexMonth))</f>
        <v>0</v>
      </c>
      <c r="E7" s="48">
        <v>1800</v>
      </c>
      <c r="F7" s="80">
        <f t="shared" si="0"/>
        <v>13800</v>
      </c>
      <c r="G7" s="81">
        <f t="shared" si="4"/>
        <v>0</v>
      </c>
      <c r="H7" s="79">
        <f t="shared" si="1"/>
        <v>0</v>
      </c>
      <c r="I7" s="80">
        <v>0</v>
      </c>
      <c r="J7" s="82">
        <f t="shared" si="5"/>
        <v>0</v>
      </c>
      <c r="K7" s="48">
        <f t="shared" si="2"/>
        <v>0</v>
      </c>
      <c r="L7" s="79">
        <f>SUM(C28:INDEX(C28:N28,IndexMonth))</f>
        <v>0</v>
      </c>
      <c r="N7" s="48">
        <f t="shared" si="6"/>
        <v>1800</v>
      </c>
      <c r="P7" s="48">
        <f t="shared" si="3"/>
        <v>12000</v>
      </c>
    </row>
    <row r="8" spans="1:18" x14ac:dyDescent="0.25">
      <c r="B8" s="73" t="str">
        <v>Supplies</v>
      </c>
      <c r="C8" s="48">
        <v>4000</v>
      </c>
      <c r="D8" s="79">
        <f>SUM(C49:INDEX(C49:N49,IndexMonth))</f>
        <v>0</v>
      </c>
      <c r="E8" s="48">
        <v>1700</v>
      </c>
      <c r="F8" s="80">
        <f t="shared" si="0"/>
        <v>5700</v>
      </c>
      <c r="G8" s="81">
        <f t="shared" si="4"/>
        <v>0</v>
      </c>
      <c r="H8" s="79">
        <f t="shared" si="1"/>
        <v>0</v>
      </c>
      <c r="I8" s="80">
        <v>0</v>
      </c>
      <c r="J8" s="82">
        <f t="shared" si="5"/>
        <v>0</v>
      </c>
      <c r="K8" s="48">
        <f t="shared" si="2"/>
        <v>0</v>
      </c>
      <c r="L8" s="79">
        <f>SUM(C29:INDEX(C29:N29,IndexMonth))</f>
        <v>0</v>
      </c>
      <c r="N8" s="48">
        <f t="shared" si="6"/>
        <v>1700</v>
      </c>
      <c r="P8" s="48">
        <f t="shared" si="3"/>
        <v>4000</v>
      </c>
    </row>
    <row r="9" spans="1:18" x14ac:dyDescent="0.25">
      <c r="B9" s="73" t="str">
        <v>Telephone</v>
      </c>
      <c r="C9" s="48">
        <v>15000</v>
      </c>
      <c r="D9" s="79">
        <f>SUM(C50:INDEX(C50:N50,IndexMonth))</f>
        <v>0</v>
      </c>
      <c r="E9" s="48">
        <v>0</v>
      </c>
      <c r="F9" s="80">
        <f t="shared" si="0"/>
        <v>15000</v>
      </c>
      <c r="G9" s="81">
        <f t="shared" si="4"/>
        <v>0</v>
      </c>
      <c r="H9" s="79">
        <f t="shared" si="1"/>
        <v>0</v>
      </c>
      <c r="I9" s="80">
        <v>0</v>
      </c>
      <c r="J9" s="82">
        <f t="shared" si="5"/>
        <v>0</v>
      </c>
      <c r="K9" s="48">
        <f t="shared" si="2"/>
        <v>0</v>
      </c>
      <c r="L9" s="79">
        <f>SUM(C30:INDEX(C30:N30,IndexMonth))</f>
        <v>0</v>
      </c>
      <c r="N9" s="48">
        <f t="shared" si="6"/>
        <v>0</v>
      </c>
      <c r="P9" s="48">
        <f t="shared" si="3"/>
        <v>15000</v>
      </c>
    </row>
    <row r="10" spans="1:18" x14ac:dyDescent="0.25">
      <c r="B10" s="73" t="str">
        <v>Postage &amp; Shipping</v>
      </c>
      <c r="C10" s="48">
        <v>7000</v>
      </c>
      <c r="D10" s="79">
        <f>SUM(C51:INDEX(C51:N51,IndexMonth))</f>
        <v>0</v>
      </c>
      <c r="E10" s="48">
        <v>1700</v>
      </c>
      <c r="F10" s="80">
        <f t="shared" si="0"/>
        <v>8700</v>
      </c>
      <c r="G10" s="81">
        <f t="shared" si="4"/>
        <v>0</v>
      </c>
      <c r="H10" s="79">
        <f t="shared" si="1"/>
        <v>0</v>
      </c>
      <c r="I10" s="80">
        <v>0</v>
      </c>
      <c r="J10" s="82">
        <f t="shared" si="5"/>
        <v>0</v>
      </c>
      <c r="K10" s="48">
        <f t="shared" si="2"/>
        <v>0</v>
      </c>
      <c r="L10" s="79">
        <f>SUM(C31:INDEX(C31:N31,IndexMonth))</f>
        <v>0</v>
      </c>
      <c r="N10" s="48">
        <f t="shared" si="6"/>
        <v>1700</v>
      </c>
      <c r="P10" s="48">
        <f t="shared" si="3"/>
        <v>7000</v>
      </c>
    </row>
    <row r="11" spans="1:18" x14ac:dyDescent="0.25">
      <c r="B11" s="73" t="str">
        <v>Occupancy</v>
      </c>
      <c r="C11" s="48">
        <v>11000</v>
      </c>
      <c r="D11" s="79">
        <f>SUM(C52:INDEX(C52:N52,IndexMonth))</f>
        <v>0</v>
      </c>
      <c r="E11" s="48">
        <v>0</v>
      </c>
      <c r="F11" s="80">
        <f t="shared" si="0"/>
        <v>11000</v>
      </c>
      <c r="G11" s="81">
        <f t="shared" si="4"/>
        <v>0</v>
      </c>
      <c r="H11" s="79">
        <f t="shared" si="1"/>
        <v>0</v>
      </c>
      <c r="I11" s="80">
        <v>0</v>
      </c>
      <c r="J11" s="82">
        <f t="shared" si="5"/>
        <v>0</v>
      </c>
      <c r="K11" s="48">
        <f t="shared" si="2"/>
        <v>0</v>
      </c>
      <c r="L11" s="79">
        <f>SUM(C32:INDEX(C32:N32,IndexMonth))</f>
        <v>0</v>
      </c>
      <c r="N11" s="48">
        <f t="shared" si="6"/>
        <v>0</v>
      </c>
      <c r="P11" s="48">
        <f t="shared" si="3"/>
        <v>11000</v>
      </c>
    </row>
    <row r="12" spans="1:18" x14ac:dyDescent="0.25">
      <c r="B12" s="73" t="str">
        <v>Equipment Rental &amp; Maintenance</v>
      </c>
      <c r="C12" s="48">
        <v>11000</v>
      </c>
      <c r="D12" s="79">
        <f>SUM(C53:INDEX(C53:N53,IndexMonth))</f>
        <v>0</v>
      </c>
      <c r="E12" s="48">
        <v>0</v>
      </c>
      <c r="F12" s="80">
        <f t="shared" si="0"/>
        <v>11000</v>
      </c>
      <c r="G12" s="81">
        <f t="shared" si="4"/>
        <v>0</v>
      </c>
      <c r="H12" s="79">
        <f t="shared" si="1"/>
        <v>0</v>
      </c>
      <c r="I12" s="80">
        <v>0</v>
      </c>
      <c r="J12" s="82">
        <f t="shared" si="5"/>
        <v>0</v>
      </c>
      <c r="K12" s="48">
        <f t="shared" si="2"/>
        <v>0</v>
      </c>
      <c r="L12" s="79">
        <f>SUM(C33:INDEX(C33:N33,IndexMonth))</f>
        <v>0</v>
      </c>
      <c r="N12" s="48">
        <f t="shared" si="6"/>
        <v>0</v>
      </c>
      <c r="P12" s="48">
        <f t="shared" si="3"/>
        <v>11000</v>
      </c>
    </row>
    <row r="13" spans="1:18" x14ac:dyDescent="0.25">
      <c r="B13" s="73" t="str">
        <v>Printing &amp; Publications</v>
      </c>
      <c r="C13" s="48">
        <v>13000</v>
      </c>
      <c r="D13" s="79">
        <f>SUM(C54:INDEX(C54:N54,IndexMonth))</f>
        <v>0</v>
      </c>
      <c r="E13" s="48">
        <v>2000</v>
      </c>
      <c r="F13" s="80">
        <f t="shared" si="0"/>
        <v>15000</v>
      </c>
      <c r="G13" s="81">
        <f t="shared" si="4"/>
        <v>0</v>
      </c>
      <c r="H13" s="79">
        <f t="shared" si="1"/>
        <v>0</v>
      </c>
      <c r="I13" s="80">
        <v>0</v>
      </c>
      <c r="J13" s="82">
        <f t="shared" si="5"/>
        <v>0</v>
      </c>
      <c r="K13" s="48">
        <f t="shared" si="2"/>
        <v>0</v>
      </c>
      <c r="L13" s="79">
        <f>SUM(C34:INDEX(C34:N34,IndexMonth))</f>
        <v>0</v>
      </c>
      <c r="N13" s="48">
        <f t="shared" si="6"/>
        <v>2000</v>
      </c>
      <c r="P13" s="48">
        <f t="shared" si="3"/>
        <v>13000</v>
      </c>
    </row>
    <row r="14" spans="1:18" x14ac:dyDescent="0.25">
      <c r="B14" s="73" t="str">
        <v>Travel / Conferences &amp; Meetings</v>
      </c>
      <c r="C14" s="48">
        <v>12000</v>
      </c>
      <c r="D14" s="79">
        <f>SUM(C55:INDEX(C55:N55,IndexMonth))</f>
        <v>0</v>
      </c>
      <c r="E14" s="48">
        <v>1900</v>
      </c>
      <c r="F14" s="80">
        <f t="shared" si="0"/>
        <v>13900</v>
      </c>
      <c r="G14" s="81">
        <f t="shared" si="4"/>
        <v>0</v>
      </c>
      <c r="H14" s="79">
        <f t="shared" si="1"/>
        <v>0</v>
      </c>
      <c r="I14" s="80">
        <v>0</v>
      </c>
      <c r="J14" s="82">
        <f t="shared" si="5"/>
        <v>0</v>
      </c>
      <c r="K14" s="48">
        <f t="shared" si="2"/>
        <v>0</v>
      </c>
      <c r="L14" s="79">
        <f>SUM(C35:INDEX(C35:N35,IndexMonth))</f>
        <v>0</v>
      </c>
      <c r="N14" s="48">
        <f t="shared" si="6"/>
        <v>1900</v>
      </c>
      <c r="P14" s="48">
        <f t="shared" si="3"/>
        <v>12000</v>
      </c>
    </row>
    <row r="15" spans="1:18" x14ac:dyDescent="0.25">
      <c r="B15" s="73" t="str">
        <v>Insurance</v>
      </c>
      <c r="C15" s="48">
        <v>6000</v>
      </c>
      <c r="D15" s="79">
        <f>SUM(C56:INDEX(C56:N56,IndexMonth))</f>
        <v>0</v>
      </c>
      <c r="E15" s="48">
        <v>0</v>
      </c>
      <c r="F15" s="80">
        <f t="shared" si="0"/>
        <v>6000</v>
      </c>
      <c r="G15" s="81">
        <f t="shared" si="4"/>
        <v>0</v>
      </c>
      <c r="H15" s="79">
        <f t="shared" si="1"/>
        <v>0</v>
      </c>
      <c r="I15" s="80">
        <v>0</v>
      </c>
      <c r="J15" s="82">
        <f t="shared" si="5"/>
        <v>0</v>
      </c>
      <c r="K15" s="48">
        <f t="shared" si="2"/>
        <v>0</v>
      </c>
      <c r="L15" s="79">
        <f>SUM(C36:INDEX(C36:N36,IndexMonth))</f>
        <v>0</v>
      </c>
      <c r="N15" s="48">
        <f t="shared" si="6"/>
        <v>0</v>
      </c>
      <c r="P15" s="48">
        <f t="shared" si="3"/>
        <v>6000</v>
      </c>
    </row>
    <row r="16" spans="1:18" x14ac:dyDescent="0.25">
      <c r="B16" s="73" t="str">
        <v>Specific Assistance to Individuals</v>
      </c>
      <c r="C16" s="48">
        <v>4000</v>
      </c>
      <c r="D16" s="79">
        <f>SUM(C57:INDEX(C57:N57,IndexMonth))</f>
        <v>0</v>
      </c>
      <c r="E16" s="48">
        <v>1700</v>
      </c>
      <c r="F16" s="80">
        <f t="shared" si="0"/>
        <v>5700</v>
      </c>
      <c r="G16" s="81">
        <f t="shared" si="4"/>
        <v>0</v>
      </c>
      <c r="H16" s="79">
        <f t="shared" si="1"/>
        <v>0</v>
      </c>
      <c r="I16" s="80">
        <v>0</v>
      </c>
      <c r="J16" s="82">
        <f t="shared" si="5"/>
        <v>0</v>
      </c>
      <c r="K16" s="48">
        <f t="shared" si="2"/>
        <v>0</v>
      </c>
      <c r="L16" s="79">
        <f>SUM(C37:INDEX(C37:N37,IndexMonth))</f>
        <v>0</v>
      </c>
      <c r="N16" s="48">
        <f t="shared" si="6"/>
        <v>1700</v>
      </c>
      <c r="P16" s="48">
        <f t="shared" si="3"/>
        <v>4000</v>
      </c>
    </row>
    <row r="17" spans="2:16" x14ac:dyDescent="0.25">
      <c r="B17" s="73" t="str">
        <v>Depreciation</v>
      </c>
      <c r="C17" s="48">
        <v>13000</v>
      </c>
      <c r="D17" s="79">
        <f>SUM(C58:INDEX(C58:N58,IndexMonth))</f>
        <v>0</v>
      </c>
      <c r="E17" s="48">
        <v>2100</v>
      </c>
      <c r="F17" s="80">
        <f t="shared" si="0"/>
        <v>15100</v>
      </c>
      <c r="G17" s="81">
        <f t="shared" si="4"/>
        <v>0</v>
      </c>
      <c r="H17" s="79">
        <f t="shared" si="1"/>
        <v>0</v>
      </c>
      <c r="I17" s="80">
        <v>0</v>
      </c>
      <c r="J17" s="82">
        <f t="shared" si="5"/>
        <v>0</v>
      </c>
      <c r="K17" s="48">
        <f t="shared" si="2"/>
        <v>0</v>
      </c>
      <c r="L17" s="79">
        <f>SUM(C38:INDEX(C38:N38,IndexMonth))</f>
        <v>0</v>
      </c>
      <c r="N17" s="48">
        <f t="shared" si="6"/>
        <v>2100</v>
      </c>
      <c r="P17" s="48">
        <f t="shared" si="3"/>
        <v>13000</v>
      </c>
    </row>
    <row r="18" spans="2:16" x14ac:dyDescent="0.25">
      <c r="B18" s="73" t="str">
        <v>Other Non_Personnel</v>
      </c>
      <c r="C18" s="48">
        <v>9000</v>
      </c>
      <c r="D18" s="79">
        <f>SUM(C59:INDEX(C59:N59,IndexMonth))</f>
        <v>0</v>
      </c>
      <c r="E18" s="48">
        <v>1800</v>
      </c>
      <c r="F18" s="80">
        <f t="shared" si="0"/>
        <v>10800</v>
      </c>
      <c r="G18" s="81">
        <f t="shared" si="4"/>
        <v>0</v>
      </c>
      <c r="H18" s="79">
        <f t="shared" si="1"/>
        <v>0</v>
      </c>
      <c r="I18" s="80">
        <v>0</v>
      </c>
      <c r="J18" s="82">
        <f t="shared" si="5"/>
        <v>0</v>
      </c>
      <c r="K18" s="48">
        <f t="shared" si="2"/>
        <v>0</v>
      </c>
      <c r="L18" s="79">
        <f>SUM(C39:INDEX(C39:N39,IndexMonth))</f>
        <v>0</v>
      </c>
      <c r="N18" s="48">
        <f t="shared" si="6"/>
        <v>1800</v>
      </c>
      <c r="P18" s="48">
        <f t="shared" si="3"/>
        <v>9000</v>
      </c>
    </row>
    <row r="19" spans="2:16" x14ac:dyDescent="0.25">
      <c r="B19" s="73" t="str">
        <v>Indirect Cost / Adm. Exp. / M&amp;G</v>
      </c>
      <c r="C19" s="50">
        <v>2000</v>
      </c>
      <c r="D19" s="83">
        <f>SUM(C60:INDEX(C60:N60,IndexMonth))</f>
        <v>0</v>
      </c>
      <c r="E19" s="50">
        <v>0</v>
      </c>
      <c r="F19" s="84">
        <f t="shared" si="0"/>
        <v>2000</v>
      </c>
      <c r="G19" s="85">
        <f t="shared" si="4"/>
        <v>0</v>
      </c>
      <c r="H19" s="83">
        <f t="shared" si="1"/>
        <v>0</v>
      </c>
      <c r="I19" s="84">
        <v>0</v>
      </c>
      <c r="J19" s="86">
        <f t="shared" si="5"/>
        <v>0</v>
      </c>
      <c r="K19" s="50">
        <f t="shared" si="2"/>
        <v>0</v>
      </c>
      <c r="L19" s="83">
        <f>SUM(C40:INDEX(C40:N40,IndexMonth))</f>
        <v>0</v>
      </c>
      <c r="N19" s="50">
        <f t="shared" si="6"/>
        <v>0</v>
      </c>
      <c r="P19" s="50">
        <f t="shared" si="3"/>
        <v>2000</v>
      </c>
    </row>
    <row r="20" spans="2:16" x14ac:dyDescent="0.25">
      <c r="B20" s="87" t="s">
        <v>51</v>
      </c>
      <c r="C20" s="88">
        <f t="shared" ref="C20:P20" si="7">SUM(C5:C19)</f>
        <v>131000</v>
      </c>
      <c r="D20" s="88">
        <f t="shared" si="7"/>
        <v>0</v>
      </c>
      <c r="E20" s="88">
        <f t="shared" si="7"/>
        <v>16900</v>
      </c>
      <c r="F20" s="88">
        <f t="shared" si="7"/>
        <v>147900</v>
      </c>
      <c r="G20" s="88">
        <f t="shared" si="7"/>
        <v>0</v>
      </c>
      <c r="H20" s="88">
        <f t="shared" si="7"/>
        <v>0</v>
      </c>
      <c r="I20" s="88">
        <f t="shared" si="7"/>
        <v>0</v>
      </c>
      <c r="J20" s="88">
        <f t="shared" si="7"/>
        <v>0</v>
      </c>
      <c r="K20" s="88">
        <f t="shared" si="7"/>
        <v>0</v>
      </c>
      <c r="L20" s="88">
        <f t="shared" si="7"/>
        <v>0</v>
      </c>
      <c r="N20" s="88">
        <f t="shared" si="7"/>
        <v>16900</v>
      </c>
      <c r="P20" s="88">
        <f t="shared" si="7"/>
        <v>131000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XEnAkv3YzsjItBdDxnoceYhJ4jra2nCYphmBE2OWwzr34oG+VqjYgjKSxqRVSzxUgdyRws0Ee1tl5JN9ZeBhiQ==" saltValue="5j3QOL/LOkF+h1JPdT5VeQ=="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30" priority="4">
      <formula>C$24&gt;InvoiceMonth</formula>
    </cfRule>
    <cfRule type="expression" dxfId="29" priority="5">
      <formula>C$24&lt;InvoiceMonth</formula>
    </cfRule>
  </conditionalFormatting>
  <conditionalFormatting sqref="C26:N40">
    <cfRule type="expression" dxfId="28"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66628C82-9400-4A09-8B11-8C147CC9008A}">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6C0ABECE-1E7C-4E1F-9B48-31ADC522E359}">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13C8-BFDA-4911-8654-4C9CBFC49CBD}">
  <sheetPr codeName="Sheet8"/>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4</v>
      </c>
      <c r="B1" s="58" t="str">
        <f>INDEX(Domains,A1,3)</f>
        <v>Housing</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700</v>
      </c>
      <c r="F5" s="75">
        <f t="shared" ref="F5:F19" si="0">C5+E5+D5</f>
        <v>700</v>
      </c>
      <c r="G5" s="76">
        <f>I5-H5</f>
        <v>0</v>
      </c>
      <c r="H5" s="74">
        <f t="shared" ref="H5:H19" si="1">MIN(I5,MAX(0,E5-L5+I5))</f>
        <v>0</v>
      </c>
      <c r="I5" s="75">
        <f t="array" ref="I5:I19">INDEX(C26:N40,,IndexMonth)</f>
        <v>0</v>
      </c>
      <c r="J5" s="77">
        <f>L5-K5</f>
        <v>0</v>
      </c>
      <c r="K5" s="46">
        <f t="shared" ref="K5:K19" si="2">MIN(E5,L5)</f>
        <v>0</v>
      </c>
      <c r="L5" s="74">
        <f>SUM(C26:INDEX(C26:N26,IndexMonth))</f>
        <v>0</v>
      </c>
      <c r="N5" s="46">
        <f>E5-K5</f>
        <v>700</v>
      </c>
      <c r="P5" s="46">
        <f t="shared" ref="P5:P19" si="3">MAX(0,SUM(C5:D5)-J5)</f>
        <v>0</v>
      </c>
      <c r="R5" s="78"/>
    </row>
    <row r="6" spans="1:18" x14ac:dyDescent="0.25">
      <c r="B6" s="73" t="str">
        <v>Benefits &amp; Taxes</v>
      </c>
      <c r="C6" s="48">
        <v>6000</v>
      </c>
      <c r="D6" s="79">
        <f>SUM(C47:INDEX(C47:N47,IndexMonth))</f>
        <v>0</v>
      </c>
      <c r="E6" s="48">
        <v>2100</v>
      </c>
      <c r="F6" s="80">
        <f t="shared" si="0"/>
        <v>8100</v>
      </c>
      <c r="G6" s="81">
        <f t="shared" ref="G6:G19" si="4">I6-H6</f>
        <v>0</v>
      </c>
      <c r="H6" s="79">
        <f t="shared" si="1"/>
        <v>0</v>
      </c>
      <c r="I6" s="80">
        <v>0</v>
      </c>
      <c r="J6" s="82">
        <f t="shared" ref="J6:J19" si="5">L6-K6</f>
        <v>0</v>
      </c>
      <c r="K6" s="48">
        <f t="shared" si="2"/>
        <v>0</v>
      </c>
      <c r="L6" s="79">
        <f>SUM(C27:INDEX(C27:N27,IndexMonth))</f>
        <v>0</v>
      </c>
      <c r="N6" s="48">
        <f t="shared" ref="N6:N19" si="6">E6-K6</f>
        <v>2100</v>
      </c>
      <c r="P6" s="48">
        <f t="shared" si="3"/>
        <v>6000</v>
      </c>
    </row>
    <row r="7" spans="1:18" x14ac:dyDescent="0.25">
      <c r="B7" s="73" t="str">
        <v>Professional Fee / Grant &amp; Award</v>
      </c>
      <c r="C7" s="48">
        <v>3000</v>
      </c>
      <c r="D7" s="79">
        <f>SUM(C48:INDEX(C48:N48,IndexMonth))</f>
        <v>0</v>
      </c>
      <c r="E7" s="48">
        <v>500</v>
      </c>
      <c r="F7" s="80">
        <f t="shared" si="0"/>
        <v>3500</v>
      </c>
      <c r="G7" s="81">
        <f t="shared" si="4"/>
        <v>0</v>
      </c>
      <c r="H7" s="79">
        <f t="shared" si="1"/>
        <v>0</v>
      </c>
      <c r="I7" s="80">
        <v>0</v>
      </c>
      <c r="J7" s="82">
        <f t="shared" si="5"/>
        <v>0</v>
      </c>
      <c r="K7" s="48">
        <f t="shared" si="2"/>
        <v>0</v>
      </c>
      <c r="L7" s="79">
        <f>SUM(C28:INDEX(C28:N28,IndexMonth))</f>
        <v>0</v>
      </c>
      <c r="N7" s="48">
        <f t="shared" si="6"/>
        <v>500</v>
      </c>
      <c r="P7" s="48">
        <f t="shared" si="3"/>
        <v>3000</v>
      </c>
    </row>
    <row r="8" spans="1:18" x14ac:dyDescent="0.25">
      <c r="B8" s="73" t="str">
        <v>Supplies</v>
      </c>
      <c r="C8" s="48">
        <v>5000</v>
      </c>
      <c r="D8" s="79">
        <f>SUM(C49:INDEX(C49:N49,IndexMonth))</f>
        <v>0</v>
      </c>
      <c r="E8" s="48">
        <v>0</v>
      </c>
      <c r="F8" s="80">
        <f t="shared" si="0"/>
        <v>5000</v>
      </c>
      <c r="G8" s="81">
        <f t="shared" si="4"/>
        <v>0</v>
      </c>
      <c r="H8" s="79">
        <f t="shared" si="1"/>
        <v>0</v>
      </c>
      <c r="I8" s="80">
        <v>0</v>
      </c>
      <c r="J8" s="82">
        <f t="shared" si="5"/>
        <v>0</v>
      </c>
      <c r="K8" s="48">
        <f t="shared" si="2"/>
        <v>0</v>
      </c>
      <c r="L8" s="79">
        <f>SUM(C29:INDEX(C29:N29,IndexMonth))</f>
        <v>0</v>
      </c>
      <c r="N8" s="48">
        <f t="shared" si="6"/>
        <v>0</v>
      </c>
      <c r="P8" s="48">
        <f t="shared" si="3"/>
        <v>5000</v>
      </c>
    </row>
    <row r="9" spans="1:18" x14ac:dyDescent="0.25">
      <c r="B9" s="73" t="str">
        <v>Telephone</v>
      </c>
      <c r="C9" s="48">
        <v>12000</v>
      </c>
      <c r="D9" s="79">
        <f>SUM(C50:INDEX(C50:N50,IndexMonth))</f>
        <v>0</v>
      </c>
      <c r="E9" s="48">
        <v>1800</v>
      </c>
      <c r="F9" s="80">
        <f t="shared" si="0"/>
        <v>13800</v>
      </c>
      <c r="G9" s="81">
        <f t="shared" si="4"/>
        <v>0</v>
      </c>
      <c r="H9" s="79">
        <f t="shared" si="1"/>
        <v>0</v>
      </c>
      <c r="I9" s="80">
        <v>0</v>
      </c>
      <c r="J9" s="82">
        <f t="shared" si="5"/>
        <v>0</v>
      </c>
      <c r="K9" s="48">
        <f t="shared" si="2"/>
        <v>0</v>
      </c>
      <c r="L9" s="79">
        <f>SUM(C30:INDEX(C30:N30,IndexMonth))</f>
        <v>0</v>
      </c>
      <c r="N9" s="48">
        <f t="shared" si="6"/>
        <v>1800</v>
      </c>
      <c r="P9" s="48">
        <f t="shared" si="3"/>
        <v>12000</v>
      </c>
    </row>
    <row r="10" spans="1:18" x14ac:dyDescent="0.25">
      <c r="B10" s="73" t="str">
        <v>Postage &amp; Shipping</v>
      </c>
      <c r="C10" s="48">
        <v>6000</v>
      </c>
      <c r="D10" s="79">
        <f>SUM(C51:INDEX(C51:N51,IndexMonth))</f>
        <v>0</v>
      </c>
      <c r="E10" s="48">
        <v>800</v>
      </c>
      <c r="F10" s="80">
        <f t="shared" si="0"/>
        <v>6800</v>
      </c>
      <c r="G10" s="81">
        <f t="shared" si="4"/>
        <v>0</v>
      </c>
      <c r="H10" s="79">
        <f t="shared" si="1"/>
        <v>0</v>
      </c>
      <c r="I10" s="80">
        <v>0</v>
      </c>
      <c r="J10" s="82">
        <f t="shared" si="5"/>
        <v>0</v>
      </c>
      <c r="K10" s="48">
        <f t="shared" si="2"/>
        <v>0</v>
      </c>
      <c r="L10" s="79">
        <f>SUM(C31:INDEX(C31:N31,IndexMonth))</f>
        <v>0</v>
      </c>
      <c r="N10" s="48">
        <f t="shared" si="6"/>
        <v>800</v>
      </c>
      <c r="P10" s="48">
        <f t="shared" si="3"/>
        <v>6000</v>
      </c>
    </row>
    <row r="11" spans="1:18" x14ac:dyDescent="0.25">
      <c r="B11" s="73" t="str">
        <v>Occupancy</v>
      </c>
      <c r="C11" s="48">
        <v>2000</v>
      </c>
      <c r="D11" s="79">
        <f>SUM(C52:INDEX(C52:N52,IndexMonth))</f>
        <v>0</v>
      </c>
      <c r="E11" s="48">
        <v>0</v>
      </c>
      <c r="F11" s="80">
        <f t="shared" si="0"/>
        <v>2000</v>
      </c>
      <c r="G11" s="81">
        <f t="shared" si="4"/>
        <v>0</v>
      </c>
      <c r="H11" s="79">
        <f t="shared" si="1"/>
        <v>0</v>
      </c>
      <c r="I11" s="80">
        <v>0</v>
      </c>
      <c r="J11" s="82">
        <f t="shared" si="5"/>
        <v>0</v>
      </c>
      <c r="K11" s="48">
        <f t="shared" si="2"/>
        <v>0</v>
      </c>
      <c r="L11" s="79">
        <f>SUM(C32:INDEX(C32:N32,IndexMonth))</f>
        <v>0</v>
      </c>
      <c r="N11" s="48">
        <f t="shared" si="6"/>
        <v>0</v>
      </c>
      <c r="P11" s="48">
        <f t="shared" si="3"/>
        <v>2000</v>
      </c>
    </row>
    <row r="12" spans="1:18" x14ac:dyDescent="0.25">
      <c r="B12" s="73" t="str">
        <v>Equipment Rental &amp; Maintenance</v>
      </c>
      <c r="C12" s="48">
        <v>11000</v>
      </c>
      <c r="D12" s="79">
        <f>SUM(C53:INDEX(C53:N53,IndexMonth))</f>
        <v>0</v>
      </c>
      <c r="E12" s="48">
        <v>0</v>
      </c>
      <c r="F12" s="80">
        <f t="shared" si="0"/>
        <v>11000</v>
      </c>
      <c r="G12" s="81">
        <f t="shared" si="4"/>
        <v>0</v>
      </c>
      <c r="H12" s="79">
        <f t="shared" si="1"/>
        <v>0</v>
      </c>
      <c r="I12" s="80">
        <v>0</v>
      </c>
      <c r="J12" s="82">
        <f t="shared" si="5"/>
        <v>0</v>
      </c>
      <c r="K12" s="48">
        <f t="shared" si="2"/>
        <v>0</v>
      </c>
      <c r="L12" s="79">
        <f>SUM(C33:INDEX(C33:N33,IndexMonth))</f>
        <v>0</v>
      </c>
      <c r="N12" s="48">
        <f t="shared" si="6"/>
        <v>0</v>
      </c>
      <c r="P12" s="48">
        <f t="shared" si="3"/>
        <v>11000</v>
      </c>
    </row>
    <row r="13" spans="1:18" x14ac:dyDescent="0.25">
      <c r="B13" s="73" t="str">
        <v>Printing &amp; Publications</v>
      </c>
      <c r="C13" s="48">
        <v>15000</v>
      </c>
      <c r="D13" s="79">
        <f>SUM(C54:INDEX(C54:N54,IndexMonth))</f>
        <v>0</v>
      </c>
      <c r="E13" s="48">
        <v>700</v>
      </c>
      <c r="F13" s="80">
        <f t="shared" si="0"/>
        <v>15700</v>
      </c>
      <c r="G13" s="81">
        <f t="shared" si="4"/>
        <v>0</v>
      </c>
      <c r="H13" s="79">
        <f t="shared" si="1"/>
        <v>0</v>
      </c>
      <c r="I13" s="80">
        <v>0</v>
      </c>
      <c r="J13" s="82">
        <f t="shared" si="5"/>
        <v>0</v>
      </c>
      <c r="K13" s="48">
        <f t="shared" si="2"/>
        <v>0</v>
      </c>
      <c r="L13" s="79">
        <f>SUM(C34:INDEX(C34:N34,IndexMonth))</f>
        <v>0</v>
      </c>
      <c r="N13" s="48">
        <f t="shared" si="6"/>
        <v>700</v>
      </c>
      <c r="P13" s="48">
        <f t="shared" si="3"/>
        <v>15000</v>
      </c>
    </row>
    <row r="14" spans="1:18" x14ac:dyDescent="0.25">
      <c r="B14" s="73" t="str">
        <v>Travel / Conferences &amp; Meetings</v>
      </c>
      <c r="C14" s="48">
        <v>9000</v>
      </c>
      <c r="D14" s="79">
        <f>SUM(C55:INDEX(C55:N55,IndexMonth))</f>
        <v>0</v>
      </c>
      <c r="E14" s="48">
        <v>1800</v>
      </c>
      <c r="F14" s="80">
        <f t="shared" si="0"/>
        <v>10800</v>
      </c>
      <c r="G14" s="81">
        <f t="shared" si="4"/>
        <v>0</v>
      </c>
      <c r="H14" s="79">
        <f t="shared" si="1"/>
        <v>0</v>
      </c>
      <c r="I14" s="80">
        <v>0</v>
      </c>
      <c r="J14" s="82">
        <f t="shared" si="5"/>
        <v>0</v>
      </c>
      <c r="K14" s="48">
        <f t="shared" si="2"/>
        <v>0</v>
      </c>
      <c r="L14" s="79">
        <f>SUM(C35:INDEX(C35:N35,IndexMonth))</f>
        <v>0</v>
      </c>
      <c r="N14" s="48">
        <f t="shared" si="6"/>
        <v>1800</v>
      </c>
      <c r="P14" s="48">
        <f t="shared" si="3"/>
        <v>9000</v>
      </c>
    </row>
    <row r="15" spans="1:18" x14ac:dyDescent="0.25">
      <c r="B15" s="73" t="str">
        <v>Insurance</v>
      </c>
      <c r="C15" s="48">
        <v>9000</v>
      </c>
      <c r="D15" s="79">
        <f>SUM(C56:INDEX(C56:N56,IndexMonth))</f>
        <v>0</v>
      </c>
      <c r="E15" s="48">
        <v>0</v>
      </c>
      <c r="F15" s="80">
        <f t="shared" si="0"/>
        <v>9000</v>
      </c>
      <c r="G15" s="81">
        <f t="shared" si="4"/>
        <v>0</v>
      </c>
      <c r="H15" s="79">
        <f t="shared" si="1"/>
        <v>0</v>
      </c>
      <c r="I15" s="80">
        <v>0</v>
      </c>
      <c r="J15" s="82">
        <f t="shared" si="5"/>
        <v>0</v>
      </c>
      <c r="K15" s="48">
        <f t="shared" si="2"/>
        <v>0</v>
      </c>
      <c r="L15" s="79">
        <f>SUM(C36:INDEX(C36:N36,IndexMonth))</f>
        <v>0</v>
      </c>
      <c r="N15" s="48">
        <f t="shared" si="6"/>
        <v>0</v>
      </c>
      <c r="P15" s="48">
        <f t="shared" si="3"/>
        <v>9000</v>
      </c>
    </row>
    <row r="16" spans="1:18" x14ac:dyDescent="0.25">
      <c r="B16" s="73" t="str">
        <v>Specific Assistance to Individuals</v>
      </c>
      <c r="C16" s="48">
        <v>13000</v>
      </c>
      <c r="D16" s="79">
        <f>SUM(C57:INDEX(C57:N57,IndexMonth))</f>
        <v>0</v>
      </c>
      <c r="E16" s="48">
        <v>0</v>
      </c>
      <c r="F16" s="80">
        <f t="shared" si="0"/>
        <v>13000</v>
      </c>
      <c r="G16" s="81">
        <f t="shared" si="4"/>
        <v>0</v>
      </c>
      <c r="H16" s="79">
        <f t="shared" si="1"/>
        <v>0</v>
      </c>
      <c r="I16" s="80">
        <v>0</v>
      </c>
      <c r="J16" s="82">
        <f t="shared" si="5"/>
        <v>0</v>
      </c>
      <c r="K16" s="48">
        <f t="shared" si="2"/>
        <v>0</v>
      </c>
      <c r="L16" s="79">
        <f>SUM(C37:INDEX(C37:N37,IndexMonth))</f>
        <v>0</v>
      </c>
      <c r="N16" s="48">
        <f t="shared" si="6"/>
        <v>0</v>
      </c>
      <c r="P16" s="48">
        <f t="shared" si="3"/>
        <v>13000</v>
      </c>
    </row>
    <row r="17" spans="2:16" x14ac:dyDescent="0.25">
      <c r="B17" s="73" t="str">
        <v>Depreciation</v>
      </c>
      <c r="C17" s="48">
        <v>7000</v>
      </c>
      <c r="D17" s="79">
        <f>SUM(C58:INDEX(C58:N58,IndexMonth))</f>
        <v>0</v>
      </c>
      <c r="E17" s="48">
        <v>1300</v>
      </c>
      <c r="F17" s="80">
        <f t="shared" si="0"/>
        <v>8300</v>
      </c>
      <c r="G17" s="81">
        <f t="shared" si="4"/>
        <v>0</v>
      </c>
      <c r="H17" s="79">
        <f t="shared" si="1"/>
        <v>0</v>
      </c>
      <c r="I17" s="80">
        <v>0</v>
      </c>
      <c r="J17" s="82">
        <f t="shared" si="5"/>
        <v>0</v>
      </c>
      <c r="K17" s="48">
        <f t="shared" si="2"/>
        <v>0</v>
      </c>
      <c r="L17" s="79">
        <f>SUM(C38:INDEX(C38:N38,IndexMonth))</f>
        <v>0</v>
      </c>
      <c r="N17" s="48">
        <f t="shared" si="6"/>
        <v>1300</v>
      </c>
      <c r="P17" s="48">
        <f t="shared" si="3"/>
        <v>7000</v>
      </c>
    </row>
    <row r="18" spans="2:16" x14ac:dyDescent="0.25">
      <c r="B18" s="73" t="str">
        <v>Other Non_Personnel</v>
      </c>
      <c r="C18" s="48">
        <v>9000</v>
      </c>
      <c r="D18" s="79">
        <f>SUM(C59:INDEX(C59:N59,IndexMonth))</f>
        <v>0</v>
      </c>
      <c r="E18" s="48">
        <v>800</v>
      </c>
      <c r="F18" s="80">
        <f t="shared" si="0"/>
        <v>9800</v>
      </c>
      <c r="G18" s="81">
        <f t="shared" si="4"/>
        <v>0</v>
      </c>
      <c r="H18" s="79">
        <f t="shared" si="1"/>
        <v>0</v>
      </c>
      <c r="I18" s="80">
        <v>0</v>
      </c>
      <c r="J18" s="82">
        <f t="shared" si="5"/>
        <v>0</v>
      </c>
      <c r="K18" s="48">
        <f t="shared" si="2"/>
        <v>0</v>
      </c>
      <c r="L18" s="79">
        <f>SUM(C39:INDEX(C39:N39,IndexMonth))</f>
        <v>0</v>
      </c>
      <c r="N18" s="48">
        <f t="shared" si="6"/>
        <v>800</v>
      </c>
      <c r="P18" s="48">
        <f t="shared" si="3"/>
        <v>9000</v>
      </c>
    </row>
    <row r="19" spans="2:16" x14ac:dyDescent="0.25">
      <c r="B19" s="73" t="str">
        <v>Indirect Cost / Adm. Exp. / M&amp;G</v>
      </c>
      <c r="C19" s="50">
        <v>5000</v>
      </c>
      <c r="D19" s="83">
        <f>SUM(C60:INDEX(C60:N60,IndexMonth))</f>
        <v>0</v>
      </c>
      <c r="E19" s="50">
        <v>700</v>
      </c>
      <c r="F19" s="84">
        <f t="shared" si="0"/>
        <v>5700</v>
      </c>
      <c r="G19" s="85">
        <f t="shared" si="4"/>
        <v>0</v>
      </c>
      <c r="H19" s="83">
        <f t="shared" si="1"/>
        <v>0</v>
      </c>
      <c r="I19" s="84">
        <v>0</v>
      </c>
      <c r="J19" s="86">
        <f t="shared" si="5"/>
        <v>0</v>
      </c>
      <c r="K19" s="50">
        <f t="shared" si="2"/>
        <v>0</v>
      </c>
      <c r="L19" s="83">
        <f>SUM(C40:INDEX(C40:N40,IndexMonth))</f>
        <v>0</v>
      </c>
      <c r="N19" s="50">
        <f t="shared" si="6"/>
        <v>700</v>
      </c>
      <c r="P19" s="50">
        <f t="shared" si="3"/>
        <v>5000</v>
      </c>
    </row>
    <row r="20" spans="2:16" x14ac:dyDescent="0.25">
      <c r="B20" s="87" t="s">
        <v>51</v>
      </c>
      <c r="C20" s="88">
        <f t="shared" ref="C20:P20" si="7">SUM(C5:C19)</f>
        <v>112000</v>
      </c>
      <c r="D20" s="88">
        <f t="shared" si="7"/>
        <v>0</v>
      </c>
      <c r="E20" s="88">
        <f t="shared" si="7"/>
        <v>11200</v>
      </c>
      <c r="F20" s="88">
        <f t="shared" si="7"/>
        <v>123200</v>
      </c>
      <c r="G20" s="88">
        <f t="shared" si="7"/>
        <v>0</v>
      </c>
      <c r="H20" s="88">
        <f t="shared" si="7"/>
        <v>0</v>
      </c>
      <c r="I20" s="88">
        <f t="shared" si="7"/>
        <v>0</v>
      </c>
      <c r="J20" s="88">
        <f t="shared" si="7"/>
        <v>0</v>
      </c>
      <c r="K20" s="88">
        <f t="shared" si="7"/>
        <v>0</v>
      </c>
      <c r="L20" s="88">
        <f t="shared" si="7"/>
        <v>0</v>
      </c>
      <c r="N20" s="88">
        <f t="shared" si="7"/>
        <v>11200</v>
      </c>
      <c r="P20" s="88">
        <f t="shared" si="7"/>
        <v>112000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CE5uwe7cmVvVayIflqzZykW9505B/ZNDCygJM67iKNoTf1q5UD7bW6Tn6z06qq7U5qcoGjgbqZYVfuV7crtUvQ==" saltValue="chOKIlbfnDJbJAMCkDyXkA=="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27" priority="4">
      <formula>C$24&gt;InvoiceMonth</formula>
    </cfRule>
    <cfRule type="expression" dxfId="26" priority="5">
      <formula>C$24&lt;InvoiceMonth</formula>
    </cfRule>
  </conditionalFormatting>
  <conditionalFormatting sqref="C26:N40">
    <cfRule type="expression" dxfId="25"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A97C40E3-4E81-458E-A36C-1E0D58269004}">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63A30A4F-BB6D-453F-9791-7639501EAA52}">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F6DF1-8A7A-425C-9402-77F1A297E277}">
  <sheetPr codeName="Sheet9"/>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5</v>
      </c>
      <c r="B1" s="58" t="str">
        <f>INDEX(Domains,A1,3)</f>
        <v>Health and Social/Dehavioral Development (including nutrition)</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600</v>
      </c>
      <c r="F5" s="75">
        <f t="shared" ref="F5:F19" si="0">C5+E5+D5</f>
        <v>600</v>
      </c>
      <c r="G5" s="76">
        <f>I5-H5</f>
        <v>0</v>
      </c>
      <c r="H5" s="74">
        <f t="shared" ref="H5:H19" si="1">MIN(I5,MAX(0,E5-L5+I5))</f>
        <v>0</v>
      </c>
      <c r="I5" s="75">
        <f t="array" ref="I5:I19">INDEX(C26:N40,,IndexMonth)</f>
        <v>0</v>
      </c>
      <c r="J5" s="77">
        <f>L5-K5</f>
        <v>0</v>
      </c>
      <c r="K5" s="46">
        <f t="shared" ref="K5:K19" si="2">MIN(E5,L5)</f>
        <v>0</v>
      </c>
      <c r="L5" s="74">
        <f>SUM(C26:INDEX(C26:N26,IndexMonth))</f>
        <v>0</v>
      </c>
      <c r="N5" s="46">
        <f>E5-K5</f>
        <v>600</v>
      </c>
      <c r="P5" s="46">
        <f t="shared" ref="P5:P19" si="3">MAX(0,SUM(C5:D5)-J5)</f>
        <v>0</v>
      </c>
      <c r="R5" s="78"/>
    </row>
    <row r="6" spans="1:18" x14ac:dyDescent="0.25">
      <c r="B6" s="73" t="str">
        <v>Benefits &amp; Taxes</v>
      </c>
      <c r="C6" s="48">
        <v>2000</v>
      </c>
      <c r="D6" s="79">
        <f>SUM(C47:INDEX(C47:N47,IndexMonth))</f>
        <v>0</v>
      </c>
      <c r="E6" s="48">
        <v>700</v>
      </c>
      <c r="F6" s="80">
        <f t="shared" si="0"/>
        <v>2700</v>
      </c>
      <c r="G6" s="81">
        <f t="shared" ref="G6:G19" si="4">I6-H6</f>
        <v>0</v>
      </c>
      <c r="H6" s="79">
        <f t="shared" si="1"/>
        <v>0</v>
      </c>
      <c r="I6" s="80">
        <v>0</v>
      </c>
      <c r="J6" s="82">
        <f t="shared" ref="J6:J19" si="5">L6-K6</f>
        <v>0</v>
      </c>
      <c r="K6" s="48">
        <f t="shared" si="2"/>
        <v>0</v>
      </c>
      <c r="L6" s="79">
        <f>SUM(C27:INDEX(C27:N27,IndexMonth))</f>
        <v>0</v>
      </c>
      <c r="N6" s="48">
        <f t="shared" ref="N6:N19" si="6">E6-K6</f>
        <v>700</v>
      </c>
      <c r="P6" s="48">
        <f t="shared" si="3"/>
        <v>2000</v>
      </c>
    </row>
    <row r="7" spans="1:18" x14ac:dyDescent="0.25">
      <c r="B7" s="73" t="str">
        <v>Professional Fee / Grant &amp; Award</v>
      </c>
      <c r="C7" s="48">
        <v>5000</v>
      </c>
      <c r="D7" s="79">
        <f>SUM(C48:INDEX(C48:N48,IndexMonth))</f>
        <v>0</v>
      </c>
      <c r="E7" s="48">
        <v>600</v>
      </c>
      <c r="F7" s="80">
        <f t="shared" si="0"/>
        <v>5600</v>
      </c>
      <c r="G7" s="81">
        <f t="shared" si="4"/>
        <v>0</v>
      </c>
      <c r="H7" s="79">
        <f t="shared" si="1"/>
        <v>0</v>
      </c>
      <c r="I7" s="80">
        <v>0</v>
      </c>
      <c r="J7" s="82">
        <f t="shared" si="5"/>
        <v>0</v>
      </c>
      <c r="K7" s="48">
        <f t="shared" si="2"/>
        <v>0</v>
      </c>
      <c r="L7" s="79">
        <f>SUM(C28:INDEX(C28:N28,IndexMonth))</f>
        <v>0</v>
      </c>
      <c r="N7" s="48">
        <f t="shared" si="6"/>
        <v>600</v>
      </c>
      <c r="P7" s="48">
        <f t="shared" si="3"/>
        <v>5000</v>
      </c>
    </row>
    <row r="8" spans="1:18" x14ac:dyDescent="0.25">
      <c r="B8" s="73" t="str">
        <v>Supplies</v>
      </c>
      <c r="C8" s="48">
        <v>12000</v>
      </c>
      <c r="D8" s="79">
        <f>SUM(C49:INDEX(C49:N49,IndexMonth))</f>
        <v>0</v>
      </c>
      <c r="E8" s="48">
        <v>1400</v>
      </c>
      <c r="F8" s="80">
        <f t="shared" si="0"/>
        <v>13400</v>
      </c>
      <c r="G8" s="81">
        <f t="shared" si="4"/>
        <v>0</v>
      </c>
      <c r="H8" s="79">
        <f t="shared" si="1"/>
        <v>0</v>
      </c>
      <c r="I8" s="80">
        <v>0</v>
      </c>
      <c r="J8" s="82">
        <f t="shared" si="5"/>
        <v>0</v>
      </c>
      <c r="K8" s="48">
        <f t="shared" si="2"/>
        <v>0</v>
      </c>
      <c r="L8" s="79">
        <f>SUM(C29:INDEX(C29:N29,IndexMonth))</f>
        <v>0</v>
      </c>
      <c r="N8" s="48">
        <f t="shared" si="6"/>
        <v>1400</v>
      </c>
      <c r="P8" s="48">
        <f t="shared" si="3"/>
        <v>12000</v>
      </c>
    </row>
    <row r="9" spans="1:18" x14ac:dyDescent="0.25">
      <c r="B9" s="73" t="str">
        <v>Telephone</v>
      </c>
      <c r="C9" s="48">
        <v>10000</v>
      </c>
      <c r="D9" s="79">
        <f>SUM(C50:INDEX(C50:N50,IndexMonth))</f>
        <v>0</v>
      </c>
      <c r="E9" s="48">
        <v>0</v>
      </c>
      <c r="F9" s="80">
        <f t="shared" si="0"/>
        <v>10000</v>
      </c>
      <c r="G9" s="81">
        <f t="shared" si="4"/>
        <v>0</v>
      </c>
      <c r="H9" s="79">
        <f t="shared" si="1"/>
        <v>0</v>
      </c>
      <c r="I9" s="80">
        <v>0</v>
      </c>
      <c r="J9" s="82">
        <f t="shared" si="5"/>
        <v>0</v>
      </c>
      <c r="K9" s="48">
        <f t="shared" si="2"/>
        <v>0</v>
      </c>
      <c r="L9" s="79">
        <f>SUM(C30:INDEX(C30:N30,IndexMonth))</f>
        <v>0</v>
      </c>
      <c r="N9" s="48">
        <f t="shared" si="6"/>
        <v>0</v>
      </c>
      <c r="P9" s="48">
        <f t="shared" si="3"/>
        <v>10000</v>
      </c>
    </row>
    <row r="10" spans="1:18" x14ac:dyDescent="0.25">
      <c r="B10" s="73" t="str">
        <v>Postage &amp; Shipping</v>
      </c>
      <c r="C10" s="48">
        <v>8000</v>
      </c>
      <c r="D10" s="79">
        <f>SUM(C51:INDEX(C51:N51,IndexMonth))</f>
        <v>0</v>
      </c>
      <c r="E10" s="48">
        <v>0</v>
      </c>
      <c r="F10" s="80">
        <f t="shared" si="0"/>
        <v>8000</v>
      </c>
      <c r="G10" s="81">
        <f t="shared" si="4"/>
        <v>0</v>
      </c>
      <c r="H10" s="79">
        <f t="shared" si="1"/>
        <v>0</v>
      </c>
      <c r="I10" s="80">
        <v>0</v>
      </c>
      <c r="J10" s="82">
        <f t="shared" si="5"/>
        <v>0</v>
      </c>
      <c r="K10" s="48">
        <f t="shared" si="2"/>
        <v>0</v>
      </c>
      <c r="L10" s="79">
        <f>SUM(C31:INDEX(C31:N31,IndexMonth))</f>
        <v>0</v>
      </c>
      <c r="N10" s="48">
        <f t="shared" si="6"/>
        <v>0</v>
      </c>
      <c r="P10" s="48">
        <f t="shared" si="3"/>
        <v>8000</v>
      </c>
    </row>
    <row r="11" spans="1:18" x14ac:dyDescent="0.25">
      <c r="B11" s="73" t="str">
        <v>Occupancy</v>
      </c>
      <c r="C11" s="48">
        <v>12000</v>
      </c>
      <c r="D11" s="79">
        <f>SUM(C52:INDEX(C52:N52,IndexMonth))</f>
        <v>0</v>
      </c>
      <c r="E11" s="48">
        <v>1700</v>
      </c>
      <c r="F11" s="80">
        <f t="shared" si="0"/>
        <v>13700</v>
      </c>
      <c r="G11" s="81">
        <f t="shared" si="4"/>
        <v>0</v>
      </c>
      <c r="H11" s="79">
        <f t="shared" si="1"/>
        <v>0</v>
      </c>
      <c r="I11" s="80">
        <v>0</v>
      </c>
      <c r="J11" s="82">
        <f t="shared" si="5"/>
        <v>0</v>
      </c>
      <c r="K11" s="48">
        <f t="shared" si="2"/>
        <v>0</v>
      </c>
      <c r="L11" s="79">
        <f>SUM(C32:INDEX(C32:N32,IndexMonth))</f>
        <v>0</v>
      </c>
      <c r="N11" s="48">
        <f t="shared" si="6"/>
        <v>1700</v>
      </c>
      <c r="P11" s="48">
        <f t="shared" si="3"/>
        <v>12000</v>
      </c>
    </row>
    <row r="12" spans="1:18" x14ac:dyDescent="0.25">
      <c r="B12" s="73" t="str">
        <v>Equipment Rental &amp; Maintenance</v>
      </c>
      <c r="C12" s="48">
        <v>11000</v>
      </c>
      <c r="D12" s="79">
        <f>SUM(C53:INDEX(C53:N53,IndexMonth))</f>
        <v>0</v>
      </c>
      <c r="E12" s="48">
        <v>2200</v>
      </c>
      <c r="F12" s="80">
        <f t="shared" si="0"/>
        <v>13200</v>
      </c>
      <c r="G12" s="81">
        <f t="shared" si="4"/>
        <v>0</v>
      </c>
      <c r="H12" s="79">
        <f t="shared" si="1"/>
        <v>0</v>
      </c>
      <c r="I12" s="80">
        <v>0</v>
      </c>
      <c r="J12" s="82">
        <f t="shared" si="5"/>
        <v>0</v>
      </c>
      <c r="K12" s="48">
        <f t="shared" si="2"/>
        <v>0</v>
      </c>
      <c r="L12" s="79">
        <f>SUM(C33:INDEX(C33:N33,IndexMonth))</f>
        <v>0</v>
      </c>
      <c r="N12" s="48">
        <f t="shared" si="6"/>
        <v>2200</v>
      </c>
      <c r="P12" s="48">
        <f t="shared" si="3"/>
        <v>11000</v>
      </c>
    </row>
    <row r="13" spans="1:18" x14ac:dyDescent="0.25">
      <c r="B13" s="73" t="str">
        <v>Printing &amp; Publications</v>
      </c>
      <c r="C13" s="48">
        <v>14000</v>
      </c>
      <c r="D13" s="79">
        <f>SUM(C54:INDEX(C54:N54,IndexMonth))</f>
        <v>0</v>
      </c>
      <c r="E13" s="48">
        <v>0</v>
      </c>
      <c r="F13" s="80">
        <f t="shared" si="0"/>
        <v>14000</v>
      </c>
      <c r="G13" s="81">
        <f t="shared" si="4"/>
        <v>0</v>
      </c>
      <c r="H13" s="79">
        <f t="shared" si="1"/>
        <v>0</v>
      </c>
      <c r="I13" s="80">
        <v>0</v>
      </c>
      <c r="J13" s="82">
        <f t="shared" si="5"/>
        <v>0</v>
      </c>
      <c r="K13" s="48">
        <f t="shared" si="2"/>
        <v>0</v>
      </c>
      <c r="L13" s="79">
        <f>SUM(C34:INDEX(C34:N34,IndexMonth))</f>
        <v>0</v>
      </c>
      <c r="N13" s="48">
        <f t="shared" si="6"/>
        <v>0</v>
      </c>
      <c r="P13" s="48">
        <f t="shared" si="3"/>
        <v>14000</v>
      </c>
    </row>
    <row r="14" spans="1:18" x14ac:dyDescent="0.25">
      <c r="B14" s="73" t="str">
        <v>Travel / Conferences &amp; Meetings</v>
      </c>
      <c r="C14" s="48">
        <v>3000</v>
      </c>
      <c r="D14" s="79">
        <f>SUM(C55:INDEX(C55:N55,IndexMonth))</f>
        <v>0</v>
      </c>
      <c r="E14" s="48">
        <v>0</v>
      </c>
      <c r="F14" s="80">
        <f t="shared" si="0"/>
        <v>3000</v>
      </c>
      <c r="G14" s="81">
        <f t="shared" si="4"/>
        <v>0</v>
      </c>
      <c r="H14" s="79">
        <f t="shared" si="1"/>
        <v>0</v>
      </c>
      <c r="I14" s="80">
        <v>0</v>
      </c>
      <c r="J14" s="82">
        <f t="shared" si="5"/>
        <v>0</v>
      </c>
      <c r="K14" s="48">
        <f t="shared" si="2"/>
        <v>0</v>
      </c>
      <c r="L14" s="79">
        <f>SUM(C35:INDEX(C35:N35,IndexMonth))</f>
        <v>0</v>
      </c>
      <c r="N14" s="48">
        <f t="shared" si="6"/>
        <v>0</v>
      </c>
      <c r="P14" s="48">
        <f t="shared" si="3"/>
        <v>3000</v>
      </c>
    </row>
    <row r="15" spans="1:18" x14ac:dyDescent="0.25">
      <c r="B15" s="73" t="str">
        <v>Insurance</v>
      </c>
      <c r="C15" s="48">
        <v>9000</v>
      </c>
      <c r="D15" s="79">
        <f>SUM(C56:INDEX(C56:N56,IndexMonth))</f>
        <v>0</v>
      </c>
      <c r="E15" s="48">
        <v>1100</v>
      </c>
      <c r="F15" s="80">
        <f t="shared" si="0"/>
        <v>10100</v>
      </c>
      <c r="G15" s="81">
        <f t="shared" si="4"/>
        <v>0</v>
      </c>
      <c r="H15" s="79">
        <f t="shared" si="1"/>
        <v>0</v>
      </c>
      <c r="I15" s="80">
        <v>0</v>
      </c>
      <c r="J15" s="82">
        <f t="shared" si="5"/>
        <v>0</v>
      </c>
      <c r="K15" s="48">
        <f t="shared" si="2"/>
        <v>0</v>
      </c>
      <c r="L15" s="79">
        <f>SUM(C36:INDEX(C36:N36,IndexMonth))</f>
        <v>0</v>
      </c>
      <c r="N15" s="48">
        <f t="shared" si="6"/>
        <v>1100</v>
      </c>
      <c r="P15" s="48">
        <f t="shared" si="3"/>
        <v>9000</v>
      </c>
    </row>
    <row r="16" spans="1:18" x14ac:dyDescent="0.25">
      <c r="B16" s="73" t="str">
        <v>Specific Assistance to Individuals</v>
      </c>
      <c r="C16" s="48">
        <v>11000</v>
      </c>
      <c r="D16" s="79">
        <f>SUM(C57:INDEX(C57:N57,IndexMonth))</f>
        <v>0</v>
      </c>
      <c r="E16" s="48">
        <v>0</v>
      </c>
      <c r="F16" s="80">
        <f t="shared" si="0"/>
        <v>11000</v>
      </c>
      <c r="G16" s="81">
        <f t="shared" si="4"/>
        <v>0</v>
      </c>
      <c r="H16" s="79">
        <f t="shared" si="1"/>
        <v>0</v>
      </c>
      <c r="I16" s="80">
        <v>0</v>
      </c>
      <c r="J16" s="82">
        <f t="shared" si="5"/>
        <v>0</v>
      </c>
      <c r="K16" s="48">
        <f t="shared" si="2"/>
        <v>0</v>
      </c>
      <c r="L16" s="79">
        <f>SUM(C37:INDEX(C37:N37,IndexMonth))</f>
        <v>0</v>
      </c>
      <c r="N16" s="48">
        <f t="shared" si="6"/>
        <v>0</v>
      </c>
      <c r="P16" s="48">
        <f t="shared" si="3"/>
        <v>11000</v>
      </c>
    </row>
    <row r="17" spans="2:16" x14ac:dyDescent="0.25">
      <c r="B17" s="73" t="str">
        <v>Depreciation</v>
      </c>
      <c r="C17" s="48">
        <v>12000</v>
      </c>
      <c r="D17" s="79">
        <f>SUM(C58:INDEX(C58:N58,IndexMonth))</f>
        <v>0</v>
      </c>
      <c r="E17" s="48">
        <v>0</v>
      </c>
      <c r="F17" s="80">
        <f t="shared" si="0"/>
        <v>12000</v>
      </c>
      <c r="G17" s="81">
        <f t="shared" si="4"/>
        <v>0</v>
      </c>
      <c r="H17" s="79">
        <f t="shared" si="1"/>
        <v>0</v>
      </c>
      <c r="I17" s="80">
        <v>0</v>
      </c>
      <c r="J17" s="82">
        <f t="shared" si="5"/>
        <v>0</v>
      </c>
      <c r="K17" s="48">
        <f t="shared" si="2"/>
        <v>0</v>
      </c>
      <c r="L17" s="79">
        <f>SUM(C38:INDEX(C38:N38,IndexMonth))</f>
        <v>0</v>
      </c>
      <c r="N17" s="48">
        <f t="shared" si="6"/>
        <v>0</v>
      </c>
      <c r="P17" s="48">
        <f t="shared" si="3"/>
        <v>12000</v>
      </c>
    </row>
    <row r="18" spans="2:16" x14ac:dyDescent="0.25">
      <c r="B18" s="73" t="str">
        <v>Other Non_Personnel</v>
      </c>
      <c r="C18" s="48">
        <v>15000</v>
      </c>
      <c r="D18" s="79">
        <f>SUM(C59:INDEX(C59:N59,IndexMonth))</f>
        <v>0</v>
      </c>
      <c r="E18" s="48">
        <v>0</v>
      </c>
      <c r="F18" s="80">
        <f t="shared" si="0"/>
        <v>15000</v>
      </c>
      <c r="G18" s="81">
        <f t="shared" si="4"/>
        <v>0</v>
      </c>
      <c r="H18" s="79">
        <f t="shared" si="1"/>
        <v>0</v>
      </c>
      <c r="I18" s="80">
        <v>0</v>
      </c>
      <c r="J18" s="82">
        <f t="shared" si="5"/>
        <v>0</v>
      </c>
      <c r="K18" s="48">
        <f t="shared" si="2"/>
        <v>0</v>
      </c>
      <c r="L18" s="79">
        <f>SUM(C39:INDEX(C39:N39,IndexMonth))</f>
        <v>0</v>
      </c>
      <c r="N18" s="48">
        <f t="shared" si="6"/>
        <v>0</v>
      </c>
      <c r="P18" s="48">
        <f t="shared" si="3"/>
        <v>15000</v>
      </c>
    </row>
    <row r="19" spans="2:16" x14ac:dyDescent="0.25">
      <c r="B19" s="73" t="str">
        <v>Indirect Cost / Adm. Exp. / M&amp;G</v>
      </c>
      <c r="C19" s="50">
        <v>12000</v>
      </c>
      <c r="D19" s="83">
        <f>SUM(C60:INDEX(C60:N60,IndexMonth))</f>
        <v>0</v>
      </c>
      <c r="E19" s="50">
        <v>800</v>
      </c>
      <c r="F19" s="84">
        <f t="shared" si="0"/>
        <v>12800</v>
      </c>
      <c r="G19" s="85">
        <f t="shared" si="4"/>
        <v>0</v>
      </c>
      <c r="H19" s="83">
        <f t="shared" si="1"/>
        <v>0</v>
      </c>
      <c r="I19" s="84">
        <v>0</v>
      </c>
      <c r="J19" s="86">
        <f t="shared" si="5"/>
        <v>0</v>
      </c>
      <c r="K19" s="50">
        <f t="shared" si="2"/>
        <v>0</v>
      </c>
      <c r="L19" s="83">
        <f>SUM(C40:INDEX(C40:N40,IndexMonth))</f>
        <v>0</v>
      </c>
      <c r="N19" s="50">
        <f t="shared" si="6"/>
        <v>800</v>
      </c>
      <c r="P19" s="50">
        <f t="shared" si="3"/>
        <v>12000</v>
      </c>
    </row>
    <row r="20" spans="2:16" x14ac:dyDescent="0.25">
      <c r="B20" s="87" t="s">
        <v>51</v>
      </c>
      <c r="C20" s="88">
        <f t="shared" ref="C20:P20" si="7">SUM(C5:C19)</f>
        <v>136000</v>
      </c>
      <c r="D20" s="88">
        <f t="shared" si="7"/>
        <v>0</v>
      </c>
      <c r="E20" s="88">
        <f t="shared" si="7"/>
        <v>9100</v>
      </c>
      <c r="F20" s="88">
        <f t="shared" si="7"/>
        <v>145100</v>
      </c>
      <c r="G20" s="88">
        <f t="shared" si="7"/>
        <v>0</v>
      </c>
      <c r="H20" s="88">
        <f t="shared" si="7"/>
        <v>0</v>
      </c>
      <c r="I20" s="88">
        <f t="shared" si="7"/>
        <v>0</v>
      </c>
      <c r="J20" s="88">
        <f t="shared" si="7"/>
        <v>0</v>
      </c>
      <c r="K20" s="88">
        <f t="shared" si="7"/>
        <v>0</v>
      </c>
      <c r="L20" s="88">
        <f t="shared" si="7"/>
        <v>0</v>
      </c>
      <c r="N20" s="88">
        <f t="shared" si="7"/>
        <v>9100</v>
      </c>
      <c r="P20" s="88">
        <f t="shared" si="7"/>
        <v>136000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6Tf3Hn6AeXesdz3V0cktHwB+Fd2O7CrsYZdxZTbrJgS5fMf6i/cg2glYHlcQ+NYSDzTV5uvnRU01wB9oOVowLg==" saltValue="As9Zh8EiUn65CViSe27uBw=="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24" priority="4">
      <formula>C$24&gt;InvoiceMonth</formula>
    </cfRule>
    <cfRule type="expression" dxfId="23" priority="5">
      <formula>C$24&lt;InvoiceMonth</formula>
    </cfRule>
  </conditionalFormatting>
  <conditionalFormatting sqref="C26:N40">
    <cfRule type="expression" dxfId="22"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84F2AE57-CE08-49F5-A3DF-150F0EE69E0A}">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B01EAA3E-35FB-4CA2-A247-055138E7505B}">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EE419-51CE-4D53-BBDE-29DBDD6B99B8}">
  <sheetPr codeName="Sheet10"/>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6</v>
      </c>
      <c r="B1" s="58" t="str">
        <f>INDEX(Domains,A1,3)</f>
        <v>Civic Engagements and Community Involvement</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2000</v>
      </c>
      <c r="F5" s="75">
        <f t="shared" ref="F5:F19" si="0">C5+E5+D5</f>
        <v>2000</v>
      </c>
      <c r="G5" s="76">
        <f>I5-H5</f>
        <v>0</v>
      </c>
      <c r="H5" s="74">
        <f t="shared" ref="H5:H19" si="1">MIN(I5,MAX(0,E5-L5+I5))</f>
        <v>0</v>
      </c>
      <c r="I5" s="75">
        <f t="array" ref="I5:I19">INDEX(C26:N40,,IndexMonth)</f>
        <v>0</v>
      </c>
      <c r="J5" s="77">
        <f>L5-K5</f>
        <v>0</v>
      </c>
      <c r="K5" s="46">
        <f t="shared" ref="K5:K19" si="2">MIN(E5,L5)</f>
        <v>0</v>
      </c>
      <c r="L5" s="74">
        <f>SUM(C26:INDEX(C26:N26,IndexMonth))</f>
        <v>0</v>
      </c>
      <c r="N5" s="46">
        <f>E5-K5</f>
        <v>2000</v>
      </c>
      <c r="P5" s="46">
        <f t="shared" ref="P5:P19" si="3">MAX(0,SUM(C5:D5)-J5)</f>
        <v>0</v>
      </c>
      <c r="R5" s="78"/>
    </row>
    <row r="6" spans="1:18" x14ac:dyDescent="0.25">
      <c r="B6" s="73" t="str">
        <v>Benefits &amp; Taxes</v>
      </c>
      <c r="C6" s="48">
        <v>0</v>
      </c>
      <c r="D6" s="79">
        <f>SUM(C47:INDEX(C47:N47,IndexMonth))</f>
        <v>0</v>
      </c>
      <c r="E6" s="48">
        <v>0</v>
      </c>
      <c r="F6" s="80">
        <f t="shared" si="0"/>
        <v>0</v>
      </c>
      <c r="G6" s="81">
        <f t="shared" ref="G6:G19" si="4">I6-H6</f>
        <v>0</v>
      </c>
      <c r="H6" s="79">
        <f t="shared" si="1"/>
        <v>0</v>
      </c>
      <c r="I6" s="80">
        <v>0</v>
      </c>
      <c r="J6" s="82">
        <f t="shared" ref="J6:J19" si="5">L6-K6</f>
        <v>0</v>
      </c>
      <c r="K6" s="48">
        <f t="shared" si="2"/>
        <v>0</v>
      </c>
      <c r="L6" s="79">
        <f>SUM(C27:INDEX(C27:N27,IndexMonth))</f>
        <v>0</v>
      </c>
      <c r="N6" s="48">
        <f t="shared" ref="N6:N19" si="6">E6-K6</f>
        <v>0</v>
      </c>
      <c r="P6" s="48">
        <f t="shared" si="3"/>
        <v>0</v>
      </c>
    </row>
    <row r="7" spans="1:18" x14ac:dyDescent="0.25">
      <c r="B7" s="73" t="str">
        <v>Professional Fee / Grant &amp; Award</v>
      </c>
      <c r="C7" s="48">
        <v>0</v>
      </c>
      <c r="D7" s="79">
        <f>SUM(C48:INDEX(C48:N48,IndexMonth))</f>
        <v>0</v>
      </c>
      <c r="E7" s="48">
        <v>1700</v>
      </c>
      <c r="F7" s="80">
        <f t="shared" si="0"/>
        <v>1700</v>
      </c>
      <c r="G7" s="81">
        <f t="shared" si="4"/>
        <v>0</v>
      </c>
      <c r="H7" s="79">
        <f t="shared" si="1"/>
        <v>0</v>
      </c>
      <c r="I7" s="80">
        <v>0</v>
      </c>
      <c r="J7" s="82">
        <f t="shared" si="5"/>
        <v>0</v>
      </c>
      <c r="K7" s="48">
        <f t="shared" si="2"/>
        <v>0</v>
      </c>
      <c r="L7" s="79">
        <f>SUM(C28:INDEX(C28:N28,IndexMonth))</f>
        <v>0</v>
      </c>
      <c r="N7" s="48">
        <f t="shared" si="6"/>
        <v>1700</v>
      </c>
      <c r="P7" s="48">
        <f t="shared" si="3"/>
        <v>0</v>
      </c>
    </row>
    <row r="8" spans="1:18" x14ac:dyDescent="0.25">
      <c r="B8" s="73" t="str">
        <v>Supplies</v>
      </c>
      <c r="C8" s="48">
        <v>0</v>
      </c>
      <c r="D8" s="79">
        <f>SUM(C49:INDEX(C49:N49,IndexMonth))</f>
        <v>0</v>
      </c>
      <c r="E8" s="48">
        <v>0</v>
      </c>
      <c r="F8" s="80">
        <f t="shared" si="0"/>
        <v>0</v>
      </c>
      <c r="G8" s="81">
        <f t="shared" si="4"/>
        <v>0</v>
      </c>
      <c r="H8" s="79">
        <f t="shared" si="1"/>
        <v>0</v>
      </c>
      <c r="I8" s="80">
        <v>0</v>
      </c>
      <c r="J8" s="82">
        <f t="shared" si="5"/>
        <v>0</v>
      </c>
      <c r="K8" s="48">
        <f t="shared" si="2"/>
        <v>0</v>
      </c>
      <c r="L8" s="79">
        <f>SUM(C29:INDEX(C29:N29,IndexMonth))</f>
        <v>0</v>
      </c>
      <c r="N8" s="48">
        <f t="shared" si="6"/>
        <v>0</v>
      </c>
      <c r="P8" s="48">
        <f t="shared" si="3"/>
        <v>0</v>
      </c>
    </row>
    <row r="9" spans="1:18" x14ac:dyDescent="0.25">
      <c r="B9" s="73" t="str">
        <v>Telephone</v>
      </c>
      <c r="C9" s="48">
        <v>0</v>
      </c>
      <c r="D9" s="79">
        <f>SUM(C50:INDEX(C50:N50,IndexMonth))</f>
        <v>0</v>
      </c>
      <c r="E9" s="48">
        <v>1200</v>
      </c>
      <c r="F9" s="80">
        <f t="shared" si="0"/>
        <v>1200</v>
      </c>
      <c r="G9" s="81">
        <f t="shared" si="4"/>
        <v>0</v>
      </c>
      <c r="H9" s="79">
        <f t="shared" si="1"/>
        <v>0</v>
      </c>
      <c r="I9" s="80">
        <v>0</v>
      </c>
      <c r="J9" s="82">
        <f t="shared" si="5"/>
        <v>0</v>
      </c>
      <c r="K9" s="48">
        <f t="shared" si="2"/>
        <v>0</v>
      </c>
      <c r="L9" s="79">
        <f>SUM(C30:INDEX(C30:N30,IndexMonth))</f>
        <v>0</v>
      </c>
      <c r="N9" s="48">
        <f t="shared" si="6"/>
        <v>1200</v>
      </c>
      <c r="P9" s="48">
        <f t="shared" si="3"/>
        <v>0</v>
      </c>
    </row>
    <row r="10" spans="1:18" x14ac:dyDescent="0.25">
      <c r="B10" s="73" t="str">
        <v>Postage &amp; Shipping</v>
      </c>
      <c r="C10" s="48">
        <v>0</v>
      </c>
      <c r="D10" s="79">
        <f>SUM(C51:INDEX(C51:N51,IndexMonth))</f>
        <v>0</v>
      </c>
      <c r="E10" s="48">
        <v>1000</v>
      </c>
      <c r="F10" s="80">
        <f t="shared" si="0"/>
        <v>1000</v>
      </c>
      <c r="G10" s="81">
        <f t="shared" si="4"/>
        <v>0</v>
      </c>
      <c r="H10" s="79">
        <f t="shared" si="1"/>
        <v>0</v>
      </c>
      <c r="I10" s="80">
        <v>0</v>
      </c>
      <c r="J10" s="82">
        <f t="shared" si="5"/>
        <v>0</v>
      </c>
      <c r="K10" s="48">
        <f t="shared" si="2"/>
        <v>0</v>
      </c>
      <c r="L10" s="79">
        <f>SUM(C31:INDEX(C31:N31,IndexMonth))</f>
        <v>0</v>
      </c>
      <c r="N10" s="48">
        <f t="shared" si="6"/>
        <v>1000</v>
      </c>
      <c r="P10" s="48">
        <f t="shared" si="3"/>
        <v>0</v>
      </c>
    </row>
    <row r="11" spans="1:18" x14ac:dyDescent="0.25">
      <c r="B11" s="73" t="str">
        <v>Occupancy</v>
      </c>
      <c r="C11" s="48">
        <v>0</v>
      </c>
      <c r="D11" s="79">
        <f>SUM(C52:INDEX(C52:N52,IndexMonth))</f>
        <v>0</v>
      </c>
      <c r="E11" s="48">
        <v>1800</v>
      </c>
      <c r="F11" s="80">
        <f t="shared" si="0"/>
        <v>1800</v>
      </c>
      <c r="G11" s="81">
        <f t="shared" si="4"/>
        <v>0</v>
      </c>
      <c r="H11" s="79">
        <f t="shared" si="1"/>
        <v>0</v>
      </c>
      <c r="I11" s="80">
        <v>0</v>
      </c>
      <c r="J11" s="82">
        <f t="shared" si="5"/>
        <v>0</v>
      </c>
      <c r="K11" s="48">
        <f t="shared" si="2"/>
        <v>0</v>
      </c>
      <c r="L11" s="79">
        <f>SUM(C32:INDEX(C32:N32,IndexMonth))</f>
        <v>0</v>
      </c>
      <c r="N11" s="48">
        <f t="shared" si="6"/>
        <v>1800</v>
      </c>
      <c r="P11" s="48">
        <f t="shared" si="3"/>
        <v>0</v>
      </c>
    </row>
    <row r="12" spans="1:18" x14ac:dyDescent="0.25">
      <c r="B12" s="73" t="str">
        <v>Equipment Rental &amp; Maintenance</v>
      </c>
      <c r="C12" s="48">
        <v>0</v>
      </c>
      <c r="D12" s="79">
        <f>SUM(C53:INDEX(C53:N53,IndexMonth))</f>
        <v>0</v>
      </c>
      <c r="E12" s="48">
        <v>800</v>
      </c>
      <c r="F12" s="80">
        <f t="shared" si="0"/>
        <v>800</v>
      </c>
      <c r="G12" s="81">
        <f t="shared" si="4"/>
        <v>0</v>
      </c>
      <c r="H12" s="79">
        <f t="shared" si="1"/>
        <v>0</v>
      </c>
      <c r="I12" s="80">
        <v>0</v>
      </c>
      <c r="J12" s="82">
        <f t="shared" si="5"/>
        <v>0</v>
      </c>
      <c r="K12" s="48">
        <f t="shared" si="2"/>
        <v>0</v>
      </c>
      <c r="L12" s="79">
        <f>SUM(C33:INDEX(C33:N33,IndexMonth))</f>
        <v>0</v>
      </c>
      <c r="N12" s="48">
        <f t="shared" si="6"/>
        <v>800</v>
      </c>
      <c r="P12" s="48">
        <f t="shared" si="3"/>
        <v>0</v>
      </c>
    </row>
    <row r="13" spans="1:18" x14ac:dyDescent="0.25">
      <c r="B13" s="73" t="str">
        <v>Printing &amp; Publications</v>
      </c>
      <c r="C13" s="48">
        <v>0</v>
      </c>
      <c r="D13" s="79">
        <f>SUM(C54:INDEX(C54:N54,IndexMonth))</f>
        <v>0</v>
      </c>
      <c r="E13" s="48">
        <v>1200</v>
      </c>
      <c r="F13" s="80">
        <f t="shared" si="0"/>
        <v>1200</v>
      </c>
      <c r="G13" s="81">
        <f t="shared" si="4"/>
        <v>0</v>
      </c>
      <c r="H13" s="79">
        <f t="shared" si="1"/>
        <v>0</v>
      </c>
      <c r="I13" s="80">
        <v>0</v>
      </c>
      <c r="J13" s="82">
        <f t="shared" si="5"/>
        <v>0</v>
      </c>
      <c r="K13" s="48">
        <f t="shared" si="2"/>
        <v>0</v>
      </c>
      <c r="L13" s="79">
        <f>SUM(C34:INDEX(C34:N34,IndexMonth))</f>
        <v>0</v>
      </c>
      <c r="N13" s="48">
        <f t="shared" si="6"/>
        <v>1200</v>
      </c>
      <c r="P13" s="48">
        <f t="shared" si="3"/>
        <v>0</v>
      </c>
    </row>
    <row r="14" spans="1:18" x14ac:dyDescent="0.25">
      <c r="B14" s="73" t="str">
        <v>Travel / Conferences &amp; Meetings</v>
      </c>
      <c r="C14" s="48">
        <v>0</v>
      </c>
      <c r="D14" s="79">
        <f>SUM(C55:INDEX(C55:N55,IndexMonth))</f>
        <v>0</v>
      </c>
      <c r="E14" s="48">
        <v>0</v>
      </c>
      <c r="F14" s="80">
        <f t="shared" si="0"/>
        <v>0</v>
      </c>
      <c r="G14" s="81">
        <f t="shared" si="4"/>
        <v>0</v>
      </c>
      <c r="H14" s="79">
        <f t="shared" si="1"/>
        <v>0</v>
      </c>
      <c r="I14" s="80">
        <v>0</v>
      </c>
      <c r="J14" s="82">
        <f t="shared" si="5"/>
        <v>0</v>
      </c>
      <c r="K14" s="48">
        <f t="shared" si="2"/>
        <v>0</v>
      </c>
      <c r="L14" s="79">
        <f>SUM(C35:INDEX(C35:N35,IndexMonth))</f>
        <v>0</v>
      </c>
      <c r="N14" s="48">
        <f t="shared" si="6"/>
        <v>0</v>
      </c>
      <c r="P14" s="48">
        <f t="shared" si="3"/>
        <v>0</v>
      </c>
    </row>
    <row r="15" spans="1:18" x14ac:dyDescent="0.25">
      <c r="B15" s="73" t="str">
        <v>Insurance</v>
      </c>
      <c r="C15" s="48">
        <v>0</v>
      </c>
      <c r="D15" s="79">
        <f>SUM(C56:INDEX(C56:N56,IndexMonth))</f>
        <v>0</v>
      </c>
      <c r="E15" s="48">
        <v>1600</v>
      </c>
      <c r="F15" s="80">
        <f t="shared" si="0"/>
        <v>1600</v>
      </c>
      <c r="G15" s="81">
        <f t="shared" si="4"/>
        <v>0</v>
      </c>
      <c r="H15" s="79">
        <f t="shared" si="1"/>
        <v>0</v>
      </c>
      <c r="I15" s="80">
        <v>0</v>
      </c>
      <c r="J15" s="82">
        <f t="shared" si="5"/>
        <v>0</v>
      </c>
      <c r="K15" s="48">
        <f t="shared" si="2"/>
        <v>0</v>
      </c>
      <c r="L15" s="79">
        <f>SUM(C36:INDEX(C36:N36,IndexMonth))</f>
        <v>0</v>
      </c>
      <c r="N15" s="48">
        <f t="shared" si="6"/>
        <v>1600</v>
      </c>
      <c r="P15" s="48">
        <f t="shared" si="3"/>
        <v>0</v>
      </c>
    </row>
    <row r="16" spans="1:18" x14ac:dyDescent="0.25">
      <c r="B16" s="73" t="str">
        <v>Specific Assistance to Individuals</v>
      </c>
      <c r="C16" s="48">
        <v>0</v>
      </c>
      <c r="D16" s="79">
        <f>SUM(C57:INDEX(C57:N57,IndexMonth))</f>
        <v>0</v>
      </c>
      <c r="E16" s="48">
        <v>2200</v>
      </c>
      <c r="F16" s="80">
        <f t="shared" si="0"/>
        <v>2200</v>
      </c>
      <c r="G16" s="81">
        <f t="shared" si="4"/>
        <v>0</v>
      </c>
      <c r="H16" s="79">
        <f t="shared" si="1"/>
        <v>0</v>
      </c>
      <c r="I16" s="80">
        <v>0</v>
      </c>
      <c r="J16" s="82">
        <f t="shared" si="5"/>
        <v>0</v>
      </c>
      <c r="K16" s="48">
        <f t="shared" si="2"/>
        <v>0</v>
      </c>
      <c r="L16" s="79">
        <f>SUM(C37:INDEX(C37:N37,IndexMonth))</f>
        <v>0</v>
      </c>
      <c r="N16" s="48">
        <f t="shared" si="6"/>
        <v>2200</v>
      </c>
      <c r="P16" s="48">
        <f t="shared" si="3"/>
        <v>0</v>
      </c>
    </row>
    <row r="17" spans="2:16" x14ac:dyDescent="0.25">
      <c r="B17" s="73" t="str">
        <v>Depreciation</v>
      </c>
      <c r="C17" s="48">
        <v>0</v>
      </c>
      <c r="D17" s="79">
        <f>SUM(C58:INDEX(C58:N58,IndexMonth))</f>
        <v>0</v>
      </c>
      <c r="E17" s="48">
        <v>2500</v>
      </c>
      <c r="F17" s="80">
        <f t="shared" si="0"/>
        <v>2500</v>
      </c>
      <c r="G17" s="81">
        <f t="shared" si="4"/>
        <v>0</v>
      </c>
      <c r="H17" s="79">
        <f t="shared" si="1"/>
        <v>0</v>
      </c>
      <c r="I17" s="80">
        <v>0</v>
      </c>
      <c r="J17" s="82">
        <f t="shared" si="5"/>
        <v>0</v>
      </c>
      <c r="K17" s="48">
        <f t="shared" si="2"/>
        <v>0</v>
      </c>
      <c r="L17" s="79">
        <f>SUM(C38:INDEX(C38:N38,IndexMonth))</f>
        <v>0</v>
      </c>
      <c r="N17" s="48">
        <f t="shared" si="6"/>
        <v>2500</v>
      </c>
      <c r="P17" s="48">
        <f t="shared" si="3"/>
        <v>0</v>
      </c>
    </row>
    <row r="18" spans="2:16" x14ac:dyDescent="0.25">
      <c r="B18" s="73" t="str">
        <v>Other Non_Personnel</v>
      </c>
      <c r="C18" s="48">
        <v>0</v>
      </c>
      <c r="D18" s="79">
        <f>SUM(C59:INDEX(C59:N59,IndexMonth))</f>
        <v>0</v>
      </c>
      <c r="E18" s="48">
        <v>500</v>
      </c>
      <c r="F18" s="80">
        <f t="shared" si="0"/>
        <v>500</v>
      </c>
      <c r="G18" s="81">
        <f t="shared" si="4"/>
        <v>0</v>
      </c>
      <c r="H18" s="79">
        <f t="shared" si="1"/>
        <v>0</v>
      </c>
      <c r="I18" s="80">
        <v>0</v>
      </c>
      <c r="J18" s="82">
        <f t="shared" si="5"/>
        <v>0</v>
      </c>
      <c r="K18" s="48">
        <f t="shared" si="2"/>
        <v>0</v>
      </c>
      <c r="L18" s="79">
        <f>SUM(C39:INDEX(C39:N39,IndexMonth))</f>
        <v>0</v>
      </c>
      <c r="N18" s="48">
        <f t="shared" si="6"/>
        <v>500</v>
      </c>
      <c r="P18" s="48">
        <f t="shared" si="3"/>
        <v>0</v>
      </c>
    </row>
    <row r="19" spans="2:16" x14ac:dyDescent="0.25">
      <c r="B19" s="73" t="str">
        <v>Indirect Cost / Adm. Exp. / M&amp;G</v>
      </c>
      <c r="C19" s="50">
        <v>0</v>
      </c>
      <c r="D19" s="83">
        <f>SUM(C60:INDEX(C60:N60,IndexMonth))</f>
        <v>0</v>
      </c>
      <c r="E19" s="50">
        <v>1500</v>
      </c>
      <c r="F19" s="84">
        <f t="shared" si="0"/>
        <v>1500</v>
      </c>
      <c r="G19" s="85">
        <f t="shared" si="4"/>
        <v>0</v>
      </c>
      <c r="H19" s="83">
        <f t="shared" si="1"/>
        <v>0</v>
      </c>
      <c r="I19" s="84">
        <v>0</v>
      </c>
      <c r="J19" s="86">
        <f t="shared" si="5"/>
        <v>0</v>
      </c>
      <c r="K19" s="50">
        <f t="shared" si="2"/>
        <v>0</v>
      </c>
      <c r="L19" s="83">
        <f>SUM(C40:INDEX(C40:N40,IndexMonth))</f>
        <v>0</v>
      </c>
      <c r="N19" s="50">
        <f t="shared" si="6"/>
        <v>1500</v>
      </c>
      <c r="P19" s="50">
        <f t="shared" si="3"/>
        <v>0</v>
      </c>
    </row>
    <row r="20" spans="2:16" x14ac:dyDescent="0.25">
      <c r="B20" s="87" t="s">
        <v>51</v>
      </c>
      <c r="C20" s="88">
        <f t="shared" ref="C20:P20" si="7">SUM(C5:C19)</f>
        <v>0</v>
      </c>
      <c r="D20" s="88">
        <f t="shared" si="7"/>
        <v>0</v>
      </c>
      <c r="E20" s="88">
        <f t="shared" si="7"/>
        <v>18000</v>
      </c>
      <c r="F20" s="88">
        <f t="shared" si="7"/>
        <v>18000</v>
      </c>
      <c r="G20" s="88">
        <f t="shared" si="7"/>
        <v>0</v>
      </c>
      <c r="H20" s="88">
        <f t="shared" si="7"/>
        <v>0</v>
      </c>
      <c r="I20" s="88">
        <f t="shared" si="7"/>
        <v>0</v>
      </c>
      <c r="J20" s="88">
        <f t="shared" si="7"/>
        <v>0</v>
      </c>
      <c r="K20" s="88">
        <f t="shared" si="7"/>
        <v>0</v>
      </c>
      <c r="L20" s="88">
        <f t="shared" si="7"/>
        <v>0</v>
      </c>
      <c r="N20" s="88">
        <f t="shared" si="7"/>
        <v>18000</v>
      </c>
      <c r="P20" s="88">
        <f t="shared" si="7"/>
        <v>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RYcOCCNPVAuRXx3xSwfWOSNUxNw/VR4LdApJkrdR6DlJAujFWGc/lWfVaj5m4NMZaeQCQ2jP5+SHoqOjZbV5sg==" saltValue="poKemhv3KDd2uL2WUqJ1Sg=="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21" priority="4">
      <formula>C$24&gt;InvoiceMonth</formula>
    </cfRule>
    <cfRule type="expression" dxfId="20" priority="5">
      <formula>C$24&lt;InvoiceMonth</formula>
    </cfRule>
  </conditionalFormatting>
  <conditionalFormatting sqref="C26:N40">
    <cfRule type="expression" dxfId="19"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785DF50E-7F97-4F2E-B379-89259D4226A3}">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A32E46DF-7A2A-478F-A21B-17D88AABC5C4}">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523FA-F52E-4B58-9C31-1040EAC4FDD8}">
  <sheetPr codeName="Sheet11"/>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7</v>
      </c>
      <c r="B1" s="58" t="str">
        <f>INDEX(Domains,A1,3)</f>
        <v>Services Supporting Multiple Domains</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1800</v>
      </c>
      <c r="F5" s="75">
        <f t="shared" ref="F5:F19" si="0">C5+E5+D5</f>
        <v>1800</v>
      </c>
      <c r="G5" s="76">
        <f>I5-H5</f>
        <v>0</v>
      </c>
      <c r="H5" s="74">
        <f t="shared" ref="H5:H19" si="1">MIN(I5,MAX(0,E5-L5+I5))</f>
        <v>0</v>
      </c>
      <c r="I5" s="75">
        <f t="array" ref="I5:I19">INDEX(C26:N40,,IndexMonth)</f>
        <v>0</v>
      </c>
      <c r="J5" s="77">
        <f>L5-K5</f>
        <v>0</v>
      </c>
      <c r="K5" s="46">
        <f t="shared" ref="K5:K19" si="2">MIN(E5,L5)</f>
        <v>0</v>
      </c>
      <c r="L5" s="74">
        <f>SUM(C26:INDEX(C26:N26,IndexMonth))</f>
        <v>0</v>
      </c>
      <c r="N5" s="46">
        <f>E5-K5</f>
        <v>1800</v>
      </c>
      <c r="P5" s="46">
        <f t="shared" ref="P5:P19" si="3">MAX(0,SUM(C5:D5)-J5)</f>
        <v>0</v>
      </c>
      <c r="R5" s="78"/>
    </row>
    <row r="6" spans="1:18" x14ac:dyDescent="0.25">
      <c r="B6" s="73" t="str">
        <v>Benefits &amp; Taxes</v>
      </c>
      <c r="C6" s="48">
        <v>6000</v>
      </c>
      <c r="D6" s="79">
        <f>SUM(C47:INDEX(C47:N47,IndexMonth))</f>
        <v>0</v>
      </c>
      <c r="E6" s="48">
        <v>500</v>
      </c>
      <c r="F6" s="80">
        <f t="shared" si="0"/>
        <v>6500</v>
      </c>
      <c r="G6" s="81">
        <f t="shared" ref="G6:G19" si="4">I6-H6</f>
        <v>0</v>
      </c>
      <c r="H6" s="79">
        <f t="shared" si="1"/>
        <v>0</v>
      </c>
      <c r="I6" s="80">
        <v>0</v>
      </c>
      <c r="J6" s="82">
        <f t="shared" ref="J6:J19" si="5">L6-K6</f>
        <v>0</v>
      </c>
      <c r="K6" s="48">
        <f t="shared" si="2"/>
        <v>0</v>
      </c>
      <c r="L6" s="79">
        <f>SUM(C27:INDEX(C27:N27,IndexMonth))</f>
        <v>0</v>
      </c>
      <c r="N6" s="48">
        <f t="shared" ref="N6:N19" si="6">E6-K6</f>
        <v>500</v>
      </c>
      <c r="P6" s="48">
        <f t="shared" si="3"/>
        <v>6000</v>
      </c>
    </row>
    <row r="7" spans="1:18" x14ac:dyDescent="0.25">
      <c r="B7" s="73" t="str">
        <v>Professional Fee / Grant &amp; Award</v>
      </c>
      <c r="C7" s="48">
        <v>9000</v>
      </c>
      <c r="D7" s="79">
        <f>SUM(C48:INDEX(C48:N48,IndexMonth))</f>
        <v>0</v>
      </c>
      <c r="E7" s="48">
        <v>1400</v>
      </c>
      <c r="F7" s="80">
        <f t="shared" si="0"/>
        <v>10400</v>
      </c>
      <c r="G7" s="81">
        <f t="shared" si="4"/>
        <v>0</v>
      </c>
      <c r="H7" s="79">
        <f t="shared" si="1"/>
        <v>0</v>
      </c>
      <c r="I7" s="80">
        <v>0</v>
      </c>
      <c r="J7" s="82">
        <f t="shared" si="5"/>
        <v>0</v>
      </c>
      <c r="K7" s="48">
        <f t="shared" si="2"/>
        <v>0</v>
      </c>
      <c r="L7" s="79">
        <f>SUM(C28:INDEX(C28:N28,IndexMonth))</f>
        <v>0</v>
      </c>
      <c r="N7" s="48">
        <f t="shared" si="6"/>
        <v>1400</v>
      </c>
      <c r="P7" s="48">
        <f t="shared" si="3"/>
        <v>9000</v>
      </c>
    </row>
    <row r="8" spans="1:18" x14ac:dyDescent="0.25">
      <c r="B8" s="73" t="str">
        <v>Supplies</v>
      </c>
      <c r="C8" s="48">
        <v>8000</v>
      </c>
      <c r="D8" s="79">
        <f>SUM(C49:INDEX(C49:N49,IndexMonth))</f>
        <v>0</v>
      </c>
      <c r="E8" s="48">
        <v>0</v>
      </c>
      <c r="F8" s="80">
        <f t="shared" si="0"/>
        <v>8000</v>
      </c>
      <c r="G8" s="81">
        <f t="shared" si="4"/>
        <v>0</v>
      </c>
      <c r="H8" s="79">
        <f t="shared" si="1"/>
        <v>0</v>
      </c>
      <c r="I8" s="80">
        <v>0</v>
      </c>
      <c r="J8" s="82">
        <f t="shared" si="5"/>
        <v>0</v>
      </c>
      <c r="K8" s="48">
        <f t="shared" si="2"/>
        <v>0</v>
      </c>
      <c r="L8" s="79">
        <f>SUM(C29:INDEX(C29:N29,IndexMonth))</f>
        <v>0</v>
      </c>
      <c r="N8" s="48">
        <f t="shared" si="6"/>
        <v>0</v>
      </c>
      <c r="P8" s="48">
        <f t="shared" si="3"/>
        <v>8000</v>
      </c>
    </row>
    <row r="9" spans="1:18" x14ac:dyDescent="0.25">
      <c r="B9" s="73" t="str">
        <v>Telephone</v>
      </c>
      <c r="C9" s="48">
        <v>15000</v>
      </c>
      <c r="D9" s="79">
        <f>SUM(C50:INDEX(C50:N50,IndexMonth))</f>
        <v>0</v>
      </c>
      <c r="E9" s="48">
        <v>1000</v>
      </c>
      <c r="F9" s="80">
        <f t="shared" si="0"/>
        <v>16000</v>
      </c>
      <c r="G9" s="81">
        <f t="shared" si="4"/>
        <v>0</v>
      </c>
      <c r="H9" s="79">
        <f t="shared" si="1"/>
        <v>0</v>
      </c>
      <c r="I9" s="80">
        <v>0</v>
      </c>
      <c r="J9" s="82">
        <f t="shared" si="5"/>
        <v>0</v>
      </c>
      <c r="K9" s="48">
        <f t="shared" si="2"/>
        <v>0</v>
      </c>
      <c r="L9" s="79">
        <f>SUM(C30:INDEX(C30:N30,IndexMonth))</f>
        <v>0</v>
      </c>
      <c r="N9" s="48">
        <f t="shared" si="6"/>
        <v>1000</v>
      </c>
      <c r="P9" s="48">
        <f t="shared" si="3"/>
        <v>15000</v>
      </c>
    </row>
    <row r="10" spans="1:18" x14ac:dyDescent="0.25">
      <c r="B10" s="73" t="str">
        <v>Postage &amp; Shipping</v>
      </c>
      <c r="C10" s="48">
        <v>9000</v>
      </c>
      <c r="D10" s="79">
        <f>SUM(C51:INDEX(C51:N51,IndexMonth))</f>
        <v>0</v>
      </c>
      <c r="E10" s="48">
        <v>700</v>
      </c>
      <c r="F10" s="80">
        <f t="shared" si="0"/>
        <v>9700</v>
      </c>
      <c r="G10" s="81">
        <f t="shared" si="4"/>
        <v>0</v>
      </c>
      <c r="H10" s="79">
        <f t="shared" si="1"/>
        <v>0</v>
      </c>
      <c r="I10" s="80">
        <v>0</v>
      </c>
      <c r="J10" s="82">
        <f t="shared" si="5"/>
        <v>0</v>
      </c>
      <c r="K10" s="48">
        <f t="shared" si="2"/>
        <v>0</v>
      </c>
      <c r="L10" s="79">
        <f>SUM(C31:INDEX(C31:N31,IndexMonth))</f>
        <v>0</v>
      </c>
      <c r="N10" s="48">
        <f t="shared" si="6"/>
        <v>700</v>
      </c>
      <c r="P10" s="48">
        <f t="shared" si="3"/>
        <v>9000</v>
      </c>
    </row>
    <row r="11" spans="1:18" x14ac:dyDescent="0.25">
      <c r="B11" s="73" t="str">
        <v>Occupancy</v>
      </c>
      <c r="C11" s="48">
        <v>14000</v>
      </c>
      <c r="D11" s="79">
        <f>SUM(C52:INDEX(C52:N52,IndexMonth))</f>
        <v>0</v>
      </c>
      <c r="E11" s="48">
        <v>500</v>
      </c>
      <c r="F11" s="80">
        <f t="shared" si="0"/>
        <v>14500</v>
      </c>
      <c r="G11" s="81">
        <f t="shared" si="4"/>
        <v>0</v>
      </c>
      <c r="H11" s="79">
        <f t="shared" si="1"/>
        <v>0</v>
      </c>
      <c r="I11" s="80">
        <v>0</v>
      </c>
      <c r="J11" s="82">
        <f t="shared" si="5"/>
        <v>0</v>
      </c>
      <c r="K11" s="48">
        <f t="shared" si="2"/>
        <v>0</v>
      </c>
      <c r="L11" s="79">
        <f>SUM(C32:INDEX(C32:N32,IndexMonth))</f>
        <v>0</v>
      </c>
      <c r="N11" s="48">
        <f t="shared" si="6"/>
        <v>500</v>
      </c>
      <c r="P11" s="48">
        <f t="shared" si="3"/>
        <v>14000</v>
      </c>
    </row>
    <row r="12" spans="1:18" x14ac:dyDescent="0.25">
      <c r="B12" s="73" t="str">
        <v>Equipment Rental &amp; Maintenance</v>
      </c>
      <c r="C12" s="48">
        <v>13000</v>
      </c>
      <c r="D12" s="79">
        <f>SUM(C53:INDEX(C53:N53,IndexMonth))</f>
        <v>0</v>
      </c>
      <c r="E12" s="48">
        <v>2100</v>
      </c>
      <c r="F12" s="80">
        <f t="shared" si="0"/>
        <v>15100</v>
      </c>
      <c r="G12" s="81">
        <f t="shared" si="4"/>
        <v>0</v>
      </c>
      <c r="H12" s="79">
        <f t="shared" si="1"/>
        <v>0</v>
      </c>
      <c r="I12" s="80">
        <v>0</v>
      </c>
      <c r="J12" s="82">
        <f t="shared" si="5"/>
        <v>0</v>
      </c>
      <c r="K12" s="48">
        <f t="shared" si="2"/>
        <v>0</v>
      </c>
      <c r="L12" s="79">
        <f>SUM(C33:INDEX(C33:N33,IndexMonth))</f>
        <v>0</v>
      </c>
      <c r="N12" s="48">
        <f t="shared" si="6"/>
        <v>2100</v>
      </c>
      <c r="P12" s="48">
        <f t="shared" si="3"/>
        <v>13000</v>
      </c>
    </row>
    <row r="13" spans="1:18" x14ac:dyDescent="0.25">
      <c r="B13" s="73" t="str">
        <v>Printing &amp; Publications</v>
      </c>
      <c r="C13" s="48">
        <v>12000</v>
      </c>
      <c r="D13" s="79">
        <f>SUM(C54:INDEX(C54:N54,IndexMonth))</f>
        <v>0</v>
      </c>
      <c r="E13" s="48">
        <v>1900</v>
      </c>
      <c r="F13" s="80">
        <f t="shared" si="0"/>
        <v>13900</v>
      </c>
      <c r="G13" s="81">
        <f t="shared" si="4"/>
        <v>0</v>
      </c>
      <c r="H13" s="79">
        <f t="shared" si="1"/>
        <v>0</v>
      </c>
      <c r="I13" s="80">
        <v>0</v>
      </c>
      <c r="J13" s="82">
        <f t="shared" si="5"/>
        <v>0</v>
      </c>
      <c r="K13" s="48">
        <f t="shared" si="2"/>
        <v>0</v>
      </c>
      <c r="L13" s="79">
        <f>SUM(C34:INDEX(C34:N34,IndexMonth))</f>
        <v>0</v>
      </c>
      <c r="N13" s="48">
        <f t="shared" si="6"/>
        <v>1900</v>
      </c>
      <c r="P13" s="48">
        <f t="shared" si="3"/>
        <v>12000</v>
      </c>
    </row>
    <row r="14" spans="1:18" x14ac:dyDescent="0.25">
      <c r="B14" s="73" t="str">
        <v>Travel / Conferences &amp; Meetings</v>
      </c>
      <c r="C14" s="48">
        <v>5000</v>
      </c>
      <c r="D14" s="79">
        <f>SUM(C55:INDEX(C55:N55,IndexMonth))</f>
        <v>0</v>
      </c>
      <c r="E14" s="48">
        <v>800</v>
      </c>
      <c r="F14" s="80">
        <f t="shared" si="0"/>
        <v>5800</v>
      </c>
      <c r="G14" s="81">
        <f t="shared" si="4"/>
        <v>0</v>
      </c>
      <c r="H14" s="79">
        <f t="shared" si="1"/>
        <v>0</v>
      </c>
      <c r="I14" s="80">
        <v>0</v>
      </c>
      <c r="J14" s="82">
        <f t="shared" si="5"/>
        <v>0</v>
      </c>
      <c r="K14" s="48">
        <f t="shared" si="2"/>
        <v>0</v>
      </c>
      <c r="L14" s="79">
        <f>SUM(C35:INDEX(C35:N35,IndexMonth))</f>
        <v>0</v>
      </c>
      <c r="N14" s="48">
        <f t="shared" si="6"/>
        <v>800</v>
      </c>
      <c r="P14" s="48">
        <f t="shared" si="3"/>
        <v>5000</v>
      </c>
    </row>
    <row r="15" spans="1:18" x14ac:dyDescent="0.25">
      <c r="B15" s="73" t="str">
        <v>Insurance</v>
      </c>
      <c r="C15" s="48">
        <v>7000</v>
      </c>
      <c r="D15" s="79">
        <f>SUM(C56:INDEX(C56:N56,IndexMonth))</f>
        <v>0</v>
      </c>
      <c r="E15" s="48">
        <v>1600</v>
      </c>
      <c r="F15" s="80">
        <f t="shared" si="0"/>
        <v>8600</v>
      </c>
      <c r="G15" s="81">
        <f t="shared" si="4"/>
        <v>0</v>
      </c>
      <c r="H15" s="79">
        <f t="shared" si="1"/>
        <v>0</v>
      </c>
      <c r="I15" s="80">
        <v>0</v>
      </c>
      <c r="J15" s="82">
        <f t="shared" si="5"/>
        <v>0</v>
      </c>
      <c r="K15" s="48">
        <f t="shared" si="2"/>
        <v>0</v>
      </c>
      <c r="L15" s="79">
        <f>SUM(C36:INDEX(C36:N36,IndexMonth))</f>
        <v>0</v>
      </c>
      <c r="N15" s="48">
        <f t="shared" si="6"/>
        <v>1600</v>
      </c>
      <c r="P15" s="48">
        <f t="shared" si="3"/>
        <v>7000</v>
      </c>
    </row>
    <row r="16" spans="1:18" x14ac:dyDescent="0.25">
      <c r="B16" s="73" t="str">
        <v>Specific Assistance to Individuals</v>
      </c>
      <c r="C16" s="48">
        <v>2000</v>
      </c>
      <c r="D16" s="79">
        <f>SUM(C57:INDEX(C57:N57,IndexMonth))</f>
        <v>0</v>
      </c>
      <c r="E16" s="48">
        <v>1200</v>
      </c>
      <c r="F16" s="80">
        <f t="shared" si="0"/>
        <v>3200</v>
      </c>
      <c r="G16" s="81">
        <f t="shared" si="4"/>
        <v>0</v>
      </c>
      <c r="H16" s="79">
        <f t="shared" si="1"/>
        <v>0</v>
      </c>
      <c r="I16" s="80">
        <v>0</v>
      </c>
      <c r="J16" s="82">
        <f t="shared" si="5"/>
        <v>0</v>
      </c>
      <c r="K16" s="48">
        <f t="shared" si="2"/>
        <v>0</v>
      </c>
      <c r="L16" s="79">
        <f>SUM(C37:INDEX(C37:N37,IndexMonth))</f>
        <v>0</v>
      </c>
      <c r="N16" s="48">
        <f t="shared" si="6"/>
        <v>1200</v>
      </c>
      <c r="P16" s="48">
        <f t="shared" si="3"/>
        <v>2000</v>
      </c>
    </row>
    <row r="17" spans="2:16" x14ac:dyDescent="0.25">
      <c r="B17" s="73" t="str">
        <v>Depreciation</v>
      </c>
      <c r="C17" s="48">
        <v>10000</v>
      </c>
      <c r="D17" s="79">
        <f>SUM(C58:INDEX(C58:N58,IndexMonth))</f>
        <v>0</v>
      </c>
      <c r="E17" s="48">
        <v>900</v>
      </c>
      <c r="F17" s="80">
        <f t="shared" si="0"/>
        <v>10900</v>
      </c>
      <c r="G17" s="81">
        <f t="shared" si="4"/>
        <v>0</v>
      </c>
      <c r="H17" s="79">
        <f t="shared" si="1"/>
        <v>0</v>
      </c>
      <c r="I17" s="80">
        <v>0</v>
      </c>
      <c r="J17" s="82">
        <f t="shared" si="5"/>
        <v>0</v>
      </c>
      <c r="K17" s="48">
        <f t="shared" si="2"/>
        <v>0</v>
      </c>
      <c r="L17" s="79">
        <f>SUM(C38:INDEX(C38:N38,IndexMonth))</f>
        <v>0</v>
      </c>
      <c r="N17" s="48">
        <f t="shared" si="6"/>
        <v>900</v>
      </c>
      <c r="P17" s="48">
        <f t="shared" si="3"/>
        <v>10000</v>
      </c>
    </row>
    <row r="18" spans="2:16" x14ac:dyDescent="0.25">
      <c r="B18" s="73" t="str">
        <v>Other Non_Personnel</v>
      </c>
      <c r="C18" s="48">
        <v>11000</v>
      </c>
      <c r="D18" s="79">
        <f>SUM(C59:INDEX(C59:N59,IndexMonth))</f>
        <v>0</v>
      </c>
      <c r="E18" s="48">
        <v>1500</v>
      </c>
      <c r="F18" s="80">
        <f t="shared" si="0"/>
        <v>12500</v>
      </c>
      <c r="G18" s="81">
        <f t="shared" si="4"/>
        <v>0</v>
      </c>
      <c r="H18" s="79">
        <f t="shared" si="1"/>
        <v>0</v>
      </c>
      <c r="I18" s="80">
        <v>0</v>
      </c>
      <c r="J18" s="82">
        <f t="shared" si="5"/>
        <v>0</v>
      </c>
      <c r="K18" s="48">
        <f t="shared" si="2"/>
        <v>0</v>
      </c>
      <c r="L18" s="79">
        <f>SUM(C39:INDEX(C39:N39,IndexMonth))</f>
        <v>0</v>
      </c>
      <c r="N18" s="48">
        <f t="shared" si="6"/>
        <v>1500</v>
      </c>
      <c r="P18" s="48">
        <f t="shared" si="3"/>
        <v>11000</v>
      </c>
    </row>
    <row r="19" spans="2:16" x14ac:dyDescent="0.25">
      <c r="B19" s="73" t="str">
        <v>Indirect Cost / Adm. Exp. / M&amp;G</v>
      </c>
      <c r="C19" s="50">
        <v>9000</v>
      </c>
      <c r="D19" s="83">
        <f>SUM(C60:INDEX(C60:N60,IndexMonth))</f>
        <v>0</v>
      </c>
      <c r="E19" s="50">
        <v>1300</v>
      </c>
      <c r="F19" s="84">
        <f t="shared" si="0"/>
        <v>10300</v>
      </c>
      <c r="G19" s="85">
        <f t="shared" si="4"/>
        <v>0</v>
      </c>
      <c r="H19" s="83">
        <f t="shared" si="1"/>
        <v>0</v>
      </c>
      <c r="I19" s="84">
        <v>0</v>
      </c>
      <c r="J19" s="86">
        <f t="shared" si="5"/>
        <v>0</v>
      </c>
      <c r="K19" s="50">
        <f t="shared" si="2"/>
        <v>0</v>
      </c>
      <c r="L19" s="83">
        <f>SUM(C40:INDEX(C40:N40,IndexMonth))</f>
        <v>0</v>
      </c>
      <c r="N19" s="50">
        <f t="shared" si="6"/>
        <v>1300</v>
      </c>
      <c r="P19" s="50">
        <f t="shared" si="3"/>
        <v>9000</v>
      </c>
    </row>
    <row r="20" spans="2:16" x14ac:dyDescent="0.25">
      <c r="B20" s="87" t="s">
        <v>51</v>
      </c>
      <c r="C20" s="88">
        <f t="shared" ref="C20:P20" si="7">SUM(C5:C19)</f>
        <v>130000</v>
      </c>
      <c r="D20" s="88">
        <f t="shared" si="7"/>
        <v>0</v>
      </c>
      <c r="E20" s="88">
        <f t="shared" si="7"/>
        <v>17200</v>
      </c>
      <c r="F20" s="88">
        <f t="shared" si="7"/>
        <v>147200</v>
      </c>
      <c r="G20" s="88">
        <f t="shared" si="7"/>
        <v>0</v>
      </c>
      <c r="H20" s="88">
        <f t="shared" si="7"/>
        <v>0</v>
      </c>
      <c r="I20" s="88">
        <f t="shared" si="7"/>
        <v>0</v>
      </c>
      <c r="J20" s="88">
        <f t="shared" si="7"/>
        <v>0</v>
      </c>
      <c r="K20" s="88">
        <f t="shared" si="7"/>
        <v>0</v>
      </c>
      <c r="L20" s="88">
        <f t="shared" si="7"/>
        <v>0</v>
      </c>
      <c r="N20" s="88">
        <f t="shared" si="7"/>
        <v>17200</v>
      </c>
      <c r="P20" s="88">
        <f t="shared" si="7"/>
        <v>130000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0FPOz5dqhR0xF97x8SWwmgYSHaZ6vZ+R4FALye3x2TJ4L3K9s/HKfaiywjgMxSVfXURNeHoPGQhHLy9kGwLp0g==" saltValue="mi8usb4jfANgCYBScjFMpQ=="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18" priority="4">
      <formula>C$24&gt;InvoiceMonth</formula>
    </cfRule>
    <cfRule type="expression" dxfId="17" priority="5">
      <formula>C$24&lt;InvoiceMonth</formula>
    </cfRule>
  </conditionalFormatting>
  <conditionalFormatting sqref="C26:N40">
    <cfRule type="expression" dxfId="16"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F38C534E-E984-4B30-9488-375903948EBC}">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49FE25BC-6116-4F2C-9D60-179AF801B0CE}">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06FE-93B6-440E-A33E-2DE2C1B26A4D}">
  <sheetPr codeName="Sheet12"/>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8</v>
      </c>
      <c r="B1" s="58" t="str">
        <f>INDEX(Domains,A1,3)</f>
        <v>Linkages (e.g., partnerships that support multiple domains)</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0</v>
      </c>
      <c r="F5" s="75">
        <f t="shared" ref="F5:F19" si="0">C5+E5+D5</f>
        <v>0</v>
      </c>
      <c r="G5" s="76">
        <f>I5-H5</f>
        <v>0</v>
      </c>
      <c r="H5" s="74">
        <f t="shared" ref="H5:H19" si="1">MIN(I5,MAX(0,E5-L5+I5))</f>
        <v>0</v>
      </c>
      <c r="I5" s="75">
        <f t="array" ref="I5:I19">INDEX(C26:N40,,IndexMonth)</f>
        <v>0</v>
      </c>
      <c r="J5" s="77">
        <f>L5-K5</f>
        <v>0</v>
      </c>
      <c r="K5" s="46">
        <f t="shared" ref="K5:K19" si="2">MIN(E5,L5)</f>
        <v>0</v>
      </c>
      <c r="L5" s="74">
        <f>SUM(C26:INDEX(C26:N26,IndexMonth))</f>
        <v>0</v>
      </c>
      <c r="N5" s="46">
        <f>E5-K5</f>
        <v>0</v>
      </c>
      <c r="P5" s="46">
        <f t="shared" ref="P5:P19" si="3">MAX(0,SUM(C5:D5)-J5)</f>
        <v>0</v>
      </c>
      <c r="R5" s="78"/>
    </row>
    <row r="6" spans="1:18" x14ac:dyDescent="0.25">
      <c r="B6" s="73" t="str">
        <v>Benefits &amp; Taxes</v>
      </c>
      <c r="C6" s="48">
        <v>4000</v>
      </c>
      <c r="D6" s="79">
        <f>SUM(C47:INDEX(C47:N47,IndexMonth))</f>
        <v>0</v>
      </c>
      <c r="E6" s="48">
        <v>0</v>
      </c>
      <c r="F6" s="80">
        <f t="shared" si="0"/>
        <v>4000</v>
      </c>
      <c r="G6" s="81">
        <f t="shared" ref="G6:G19" si="4">I6-H6</f>
        <v>0</v>
      </c>
      <c r="H6" s="79">
        <f t="shared" si="1"/>
        <v>0</v>
      </c>
      <c r="I6" s="80">
        <v>0</v>
      </c>
      <c r="J6" s="82">
        <f t="shared" ref="J6:J19" si="5">L6-K6</f>
        <v>0</v>
      </c>
      <c r="K6" s="48">
        <f t="shared" si="2"/>
        <v>0</v>
      </c>
      <c r="L6" s="79">
        <f>SUM(C27:INDEX(C27:N27,IndexMonth))</f>
        <v>0</v>
      </c>
      <c r="N6" s="48">
        <f t="shared" ref="N6:N19" si="6">E6-K6</f>
        <v>0</v>
      </c>
      <c r="P6" s="48">
        <f t="shared" si="3"/>
        <v>4000</v>
      </c>
    </row>
    <row r="7" spans="1:18" x14ac:dyDescent="0.25">
      <c r="B7" s="73" t="str">
        <v>Professional Fee / Grant &amp; Award</v>
      </c>
      <c r="C7" s="48">
        <v>2000</v>
      </c>
      <c r="D7" s="79">
        <f>SUM(C48:INDEX(C48:N48,IndexMonth))</f>
        <v>0</v>
      </c>
      <c r="E7" s="48">
        <v>0</v>
      </c>
      <c r="F7" s="80">
        <f t="shared" si="0"/>
        <v>2000</v>
      </c>
      <c r="G7" s="81">
        <f t="shared" si="4"/>
        <v>0</v>
      </c>
      <c r="H7" s="79">
        <f t="shared" si="1"/>
        <v>0</v>
      </c>
      <c r="I7" s="80">
        <v>0</v>
      </c>
      <c r="J7" s="82">
        <f t="shared" si="5"/>
        <v>0</v>
      </c>
      <c r="K7" s="48">
        <f t="shared" si="2"/>
        <v>0</v>
      </c>
      <c r="L7" s="79">
        <f>SUM(C28:INDEX(C28:N28,IndexMonth))</f>
        <v>0</v>
      </c>
      <c r="N7" s="48">
        <f t="shared" si="6"/>
        <v>0</v>
      </c>
      <c r="P7" s="48">
        <f t="shared" si="3"/>
        <v>2000</v>
      </c>
    </row>
    <row r="8" spans="1:18" x14ac:dyDescent="0.25">
      <c r="B8" s="73" t="str">
        <v>Supplies</v>
      </c>
      <c r="C8" s="48">
        <v>11000</v>
      </c>
      <c r="D8" s="79">
        <f>SUM(C49:INDEX(C49:N49,IndexMonth))</f>
        <v>0</v>
      </c>
      <c r="E8" s="48">
        <v>0</v>
      </c>
      <c r="F8" s="80">
        <f t="shared" si="0"/>
        <v>11000</v>
      </c>
      <c r="G8" s="81">
        <f t="shared" si="4"/>
        <v>0</v>
      </c>
      <c r="H8" s="79">
        <f t="shared" si="1"/>
        <v>0</v>
      </c>
      <c r="I8" s="80">
        <v>0</v>
      </c>
      <c r="J8" s="82">
        <f t="shared" si="5"/>
        <v>0</v>
      </c>
      <c r="K8" s="48">
        <f t="shared" si="2"/>
        <v>0</v>
      </c>
      <c r="L8" s="79">
        <f>SUM(C29:INDEX(C29:N29,IndexMonth))</f>
        <v>0</v>
      </c>
      <c r="N8" s="48">
        <f t="shared" si="6"/>
        <v>0</v>
      </c>
      <c r="P8" s="48">
        <f t="shared" si="3"/>
        <v>11000</v>
      </c>
    </row>
    <row r="9" spans="1:18" x14ac:dyDescent="0.25">
      <c r="B9" s="73" t="str">
        <v>Telephone</v>
      </c>
      <c r="C9" s="48">
        <v>3000</v>
      </c>
      <c r="D9" s="79">
        <f>SUM(C50:INDEX(C50:N50,IndexMonth))</f>
        <v>0</v>
      </c>
      <c r="E9" s="48">
        <v>0</v>
      </c>
      <c r="F9" s="80">
        <f t="shared" si="0"/>
        <v>3000</v>
      </c>
      <c r="G9" s="81">
        <f t="shared" si="4"/>
        <v>0</v>
      </c>
      <c r="H9" s="79">
        <f t="shared" si="1"/>
        <v>0</v>
      </c>
      <c r="I9" s="80">
        <v>0</v>
      </c>
      <c r="J9" s="82">
        <f t="shared" si="5"/>
        <v>0</v>
      </c>
      <c r="K9" s="48">
        <f t="shared" si="2"/>
        <v>0</v>
      </c>
      <c r="L9" s="79">
        <f>SUM(C30:INDEX(C30:N30,IndexMonth))</f>
        <v>0</v>
      </c>
      <c r="N9" s="48">
        <f t="shared" si="6"/>
        <v>0</v>
      </c>
      <c r="P9" s="48">
        <f t="shared" si="3"/>
        <v>3000</v>
      </c>
    </row>
    <row r="10" spans="1:18" x14ac:dyDescent="0.25">
      <c r="B10" s="73" t="str">
        <v>Postage &amp; Shipping</v>
      </c>
      <c r="C10" s="48">
        <v>2000</v>
      </c>
      <c r="D10" s="79">
        <f>SUM(C51:INDEX(C51:N51,IndexMonth))</f>
        <v>0</v>
      </c>
      <c r="E10" s="48">
        <v>0</v>
      </c>
      <c r="F10" s="80">
        <f t="shared" si="0"/>
        <v>2000</v>
      </c>
      <c r="G10" s="81">
        <f t="shared" si="4"/>
        <v>0</v>
      </c>
      <c r="H10" s="79">
        <f t="shared" si="1"/>
        <v>0</v>
      </c>
      <c r="I10" s="80">
        <v>0</v>
      </c>
      <c r="J10" s="82">
        <f t="shared" si="5"/>
        <v>0</v>
      </c>
      <c r="K10" s="48">
        <f t="shared" si="2"/>
        <v>0</v>
      </c>
      <c r="L10" s="79">
        <f>SUM(C31:INDEX(C31:N31,IndexMonth))</f>
        <v>0</v>
      </c>
      <c r="N10" s="48">
        <f t="shared" si="6"/>
        <v>0</v>
      </c>
      <c r="P10" s="48">
        <f t="shared" si="3"/>
        <v>2000</v>
      </c>
    </row>
    <row r="11" spans="1:18" x14ac:dyDescent="0.25">
      <c r="B11" s="73" t="str">
        <v>Occupancy</v>
      </c>
      <c r="C11" s="48">
        <v>7000</v>
      </c>
      <c r="D11" s="79">
        <f>SUM(C52:INDEX(C52:N52,IndexMonth))</f>
        <v>0</v>
      </c>
      <c r="E11" s="48">
        <v>0</v>
      </c>
      <c r="F11" s="80">
        <f t="shared" si="0"/>
        <v>7000</v>
      </c>
      <c r="G11" s="81">
        <f t="shared" si="4"/>
        <v>0</v>
      </c>
      <c r="H11" s="79">
        <f t="shared" si="1"/>
        <v>0</v>
      </c>
      <c r="I11" s="80">
        <v>0</v>
      </c>
      <c r="J11" s="82">
        <f t="shared" si="5"/>
        <v>0</v>
      </c>
      <c r="K11" s="48">
        <f t="shared" si="2"/>
        <v>0</v>
      </c>
      <c r="L11" s="79">
        <f>SUM(C32:INDEX(C32:N32,IndexMonth))</f>
        <v>0</v>
      </c>
      <c r="N11" s="48">
        <f t="shared" si="6"/>
        <v>0</v>
      </c>
      <c r="P11" s="48">
        <f t="shared" si="3"/>
        <v>7000</v>
      </c>
    </row>
    <row r="12" spans="1:18" x14ac:dyDescent="0.25">
      <c r="B12" s="73" t="str">
        <v>Equipment Rental &amp; Maintenance</v>
      </c>
      <c r="C12" s="48">
        <v>13000</v>
      </c>
      <c r="D12" s="79">
        <f>SUM(C53:INDEX(C53:N53,IndexMonth))</f>
        <v>0</v>
      </c>
      <c r="E12" s="48">
        <v>0</v>
      </c>
      <c r="F12" s="80">
        <f t="shared" si="0"/>
        <v>13000</v>
      </c>
      <c r="G12" s="81">
        <f t="shared" si="4"/>
        <v>0</v>
      </c>
      <c r="H12" s="79">
        <f t="shared" si="1"/>
        <v>0</v>
      </c>
      <c r="I12" s="80">
        <v>0</v>
      </c>
      <c r="J12" s="82">
        <f t="shared" si="5"/>
        <v>0</v>
      </c>
      <c r="K12" s="48">
        <f t="shared" si="2"/>
        <v>0</v>
      </c>
      <c r="L12" s="79">
        <f>SUM(C33:INDEX(C33:N33,IndexMonth))</f>
        <v>0</v>
      </c>
      <c r="N12" s="48">
        <f t="shared" si="6"/>
        <v>0</v>
      </c>
      <c r="P12" s="48">
        <f t="shared" si="3"/>
        <v>13000</v>
      </c>
    </row>
    <row r="13" spans="1:18" x14ac:dyDescent="0.25">
      <c r="B13" s="73" t="str">
        <v>Printing &amp; Publications</v>
      </c>
      <c r="C13" s="48">
        <v>14000</v>
      </c>
      <c r="D13" s="79">
        <f>SUM(C54:INDEX(C54:N54,IndexMonth))</f>
        <v>0</v>
      </c>
      <c r="E13" s="48">
        <v>0</v>
      </c>
      <c r="F13" s="80">
        <f t="shared" si="0"/>
        <v>14000</v>
      </c>
      <c r="G13" s="81">
        <f t="shared" si="4"/>
        <v>0</v>
      </c>
      <c r="H13" s="79">
        <f t="shared" si="1"/>
        <v>0</v>
      </c>
      <c r="I13" s="80">
        <v>0</v>
      </c>
      <c r="J13" s="82">
        <f t="shared" si="5"/>
        <v>0</v>
      </c>
      <c r="K13" s="48">
        <f t="shared" si="2"/>
        <v>0</v>
      </c>
      <c r="L13" s="79">
        <f>SUM(C34:INDEX(C34:N34,IndexMonth))</f>
        <v>0</v>
      </c>
      <c r="N13" s="48">
        <f t="shared" si="6"/>
        <v>0</v>
      </c>
      <c r="P13" s="48">
        <f t="shared" si="3"/>
        <v>14000</v>
      </c>
    </row>
    <row r="14" spans="1:18" x14ac:dyDescent="0.25">
      <c r="B14" s="73" t="str">
        <v>Travel / Conferences &amp; Meetings</v>
      </c>
      <c r="C14" s="48">
        <v>6000</v>
      </c>
      <c r="D14" s="79">
        <f>SUM(C55:INDEX(C55:N55,IndexMonth))</f>
        <v>0</v>
      </c>
      <c r="E14" s="48">
        <v>0</v>
      </c>
      <c r="F14" s="80">
        <f t="shared" si="0"/>
        <v>6000</v>
      </c>
      <c r="G14" s="81">
        <f t="shared" si="4"/>
        <v>0</v>
      </c>
      <c r="H14" s="79">
        <f t="shared" si="1"/>
        <v>0</v>
      </c>
      <c r="I14" s="80">
        <v>0</v>
      </c>
      <c r="J14" s="82">
        <f t="shared" si="5"/>
        <v>0</v>
      </c>
      <c r="K14" s="48">
        <f t="shared" si="2"/>
        <v>0</v>
      </c>
      <c r="L14" s="79">
        <f>SUM(C35:INDEX(C35:N35,IndexMonth))</f>
        <v>0</v>
      </c>
      <c r="N14" s="48">
        <f t="shared" si="6"/>
        <v>0</v>
      </c>
      <c r="P14" s="48">
        <f t="shared" si="3"/>
        <v>6000</v>
      </c>
    </row>
    <row r="15" spans="1:18" x14ac:dyDescent="0.25">
      <c r="B15" s="73" t="str">
        <v>Insurance</v>
      </c>
      <c r="C15" s="48">
        <v>7000</v>
      </c>
      <c r="D15" s="79">
        <f>SUM(C56:INDEX(C56:N56,IndexMonth))</f>
        <v>0</v>
      </c>
      <c r="E15" s="48">
        <v>0</v>
      </c>
      <c r="F15" s="80">
        <f t="shared" si="0"/>
        <v>7000</v>
      </c>
      <c r="G15" s="81">
        <f t="shared" si="4"/>
        <v>0</v>
      </c>
      <c r="H15" s="79">
        <f t="shared" si="1"/>
        <v>0</v>
      </c>
      <c r="I15" s="80">
        <v>0</v>
      </c>
      <c r="J15" s="82">
        <f t="shared" si="5"/>
        <v>0</v>
      </c>
      <c r="K15" s="48">
        <f t="shared" si="2"/>
        <v>0</v>
      </c>
      <c r="L15" s="79">
        <f>SUM(C36:INDEX(C36:N36,IndexMonth))</f>
        <v>0</v>
      </c>
      <c r="N15" s="48">
        <f t="shared" si="6"/>
        <v>0</v>
      </c>
      <c r="P15" s="48">
        <f t="shared" si="3"/>
        <v>7000</v>
      </c>
    </row>
    <row r="16" spans="1:18" x14ac:dyDescent="0.25">
      <c r="B16" s="73" t="str">
        <v>Specific Assistance to Individuals</v>
      </c>
      <c r="C16" s="48">
        <v>3000</v>
      </c>
      <c r="D16" s="79">
        <f>SUM(C57:INDEX(C57:N57,IndexMonth))</f>
        <v>0</v>
      </c>
      <c r="E16" s="48">
        <v>0</v>
      </c>
      <c r="F16" s="80">
        <f t="shared" si="0"/>
        <v>3000</v>
      </c>
      <c r="G16" s="81">
        <f t="shared" si="4"/>
        <v>0</v>
      </c>
      <c r="H16" s="79">
        <f t="shared" si="1"/>
        <v>0</v>
      </c>
      <c r="I16" s="80">
        <v>0</v>
      </c>
      <c r="J16" s="82">
        <f t="shared" si="5"/>
        <v>0</v>
      </c>
      <c r="K16" s="48">
        <f t="shared" si="2"/>
        <v>0</v>
      </c>
      <c r="L16" s="79">
        <f>SUM(C37:INDEX(C37:N37,IndexMonth))</f>
        <v>0</v>
      </c>
      <c r="N16" s="48">
        <f t="shared" si="6"/>
        <v>0</v>
      </c>
      <c r="P16" s="48">
        <f t="shared" si="3"/>
        <v>3000</v>
      </c>
    </row>
    <row r="17" spans="2:16" x14ac:dyDescent="0.25">
      <c r="B17" s="73" t="str">
        <v>Depreciation</v>
      </c>
      <c r="C17" s="48">
        <v>4000</v>
      </c>
      <c r="D17" s="79">
        <f>SUM(C58:INDEX(C58:N58,IndexMonth))</f>
        <v>0</v>
      </c>
      <c r="E17" s="48">
        <v>0</v>
      </c>
      <c r="F17" s="80">
        <f t="shared" si="0"/>
        <v>4000</v>
      </c>
      <c r="G17" s="81">
        <f t="shared" si="4"/>
        <v>0</v>
      </c>
      <c r="H17" s="79">
        <f t="shared" si="1"/>
        <v>0</v>
      </c>
      <c r="I17" s="80">
        <v>0</v>
      </c>
      <c r="J17" s="82">
        <f t="shared" si="5"/>
        <v>0</v>
      </c>
      <c r="K17" s="48">
        <f t="shared" si="2"/>
        <v>0</v>
      </c>
      <c r="L17" s="79">
        <f>SUM(C38:INDEX(C38:N38,IndexMonth))</f>
        <v>0</v>
      </c>
      <c r="N17" s="48">
        <f t="shared" si="6"/>
        <v>0</v>
      </c>
      <c r="P17" s="48">
        <f t="shared" si="3"/>
        <v>4000</v>
      </c>
    </row>
    <row r="18" spans="2:16" x14ac:dyDescent="0.25">
      <c r="B18" s="73" t="str">
        <v>Other Non_Personnel</v>
      </c>
      <c r="C18" s="48">
        <v>3000</v>
      </c>
      <c r="D18" s="79">
        <f>SUM(C59:INDEX(C59:N59,IndexMonth))</f>
        <v>0</v>
      </c>
      <c r="E18" s="48">
        <v>0</v>
      </c>
      <c r="F18" s="80">
        <f t="shared" si="0"/>
        <v>3000</v>
      </c>
      <c r="G18" s="81">
        <f t="shared" si="4"/>
        <v>0</v>
      </c>
      <c r="H18" s="79">
        <f t="shared" si="1"/>
        <v>0</v>
      </c>
      <c r="I18" s="80">
        <v>0</v>
      </c>
      <c r="J18" s="82">
        <f t="shared" si="5"/>
        <v>0</v>
      </c>
      <c r="K18" s="48">
        <f t="shared" si="2"/>
        <v>0</v>
      </c>
      <c r="L18" s="79">
        <f>SUM(C39:INDEX(C39:N39,IndexMonth))</f>
        <v>0</v>
      </c>
      <c r="N18" s="48">
        <f t="shared" si="6"/>
        <v>0</v>
      </c>
      <c r="P18" s="48">
        <f t="shared" si="3"/>
        <v>3000</v>
      </c>
    </row>
    <row r="19" spans="2:16" x14ac:dyDescent="0.25">
      <c r="B19" s="73" t="str">
        <v>Indirect Cost / Adm. Exp. / M&amp;G</v>
      </c>
      <c r="C19" s="50">
        <v>10000</v>
      </c>
      <c r="D19" s="83">
        <f>SUM(C60:INDEX(C60:N60,IndexMonth))</f>
        <v>0</v>
      </c>
      <c r="E19" s="50">
        <v>0</v>
      </c>
      <c r="F19" s="84">
        <f t="shared" si="0"/>
        <v>10000</v>
      </c>
      <c r="G19" s="85">
        <f t="shared" si="4"/>
        <v>0</v>
      </c>
      <c r="H19" s="83">
        <f t="shared" si="1"/>
        <v>0</v>
      </c>
      <c r="I19" s="84">
        <v>0</v>
      </c>
      <c r="J19" s="86">
        <f t="shared" si="5"/>
        <v>0</v>
      </c>
      <c r="K19" s="50">
        <f t="shared" si="2"/>
        <v>0</v>
      </c>
      <c r="L19" s="83">
        <f>SUM(C40:INDEX(C40:N40,IndexMonth))</f>
        <v>0</v>
      </c>
      <c r="N19" s="50">
        <f t="shared" si="6"/>
        <v>0</v>
      </c>
      <c r="P19" s="50">
        <f t="shared" si="3"/>
        <v>10000</v>
      </c>
    </row>
    <row r="20" spans="2:16" x14ac:dyDescent="0.25">
      <c r="B20" s="87" t="s">
        <v>51</v>
      </c>
      <c r="C20" s="88">
        <f t="shared" ref="C20:P20" si="7">SUM(C5:C19)</f>
        <v>89000</v>
      </c>
      <c r="D20" s="88">
        <f t="shared" si="7"/>
        <v>0</v>
      </c>
      <c r="E20" s="88">
        <f t="shared" si="7"/>
        <v>0</v>
      </c>
      <c r="F20" s="88">
        <f t="shared" si="7"/>
        <v>89000</v>
      </c>
      <c r="G20" s="88">
        <f t="shared" si="7"/>
        <v>0</v>
      </c>
      <c r="H20" s="88">
        <f t="shared" si="7"/>
        <v>0</v>
      </c>
      <c r="I20" s="88">
        <f t="shared" si="7"/>
        <v>0</v>
      </c>
      <c r="J20" s="88">
        <f t="shared" si="7"/>
        <v>0</v>
      </c>
      <c r="K20" s="88">
        <f t="shared" si="7"/>
        <v>0</v>
      </c>
      <c r="L20" s="88">
        <f t="shared" si="7"/>
        <v>0</v>
      </c>
      <c r="N20" s="88">
        <f t="shared" si="7"/>
        <v>0</v>
      </c>
      <c r="P20" s="88">
        <f t="shared" si="7"/>
        <v>89000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ZcsD2vOTVbw2KJ+5CuMZkBxrL/22Q8nxHsjBoMTN1gyd7CLPtScGCUT1EYvcFmqy/ucgO2SWYwxIW112GoRTEA==" saltValue="MhcKEWp2Sw2ZJCPnZgyrDA=="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15" priority="4">
      <formula>C$24&gt;InvoiceMonth</formula>
    </cfRule>
    <cfRule type="expression" dxfId="14" priority="5">
      <formula>C$24&lt;InvoiceMonth</formula>
    </cfRule>
  </conditionalFormatting>
  <conditionalFormatting sqref="J33:J34">
    <cfRule type="expression" dxfId="13" priority="1" stopIfTrue="1">
      <formula>AND($F4=0,C25&lt;&gt;0)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9F5C6D3D-FF6E-4550-BAC3-243B5A16311E}">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E2E0570E-C704-429B-BCD7-7C3BA1440DB3}">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00044-7DCC-4235-88E5-2D83A54FACB9}">
  <sheetPr codeName="Sheet13"/>
  <dimension ref="A1:AA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2.85546875" style="12" hidden="1" customWidth="1"/>
    <col min="19" max="20" width="15.28515625" style="12" hidden="1" customWidth="1"/>
    <col min="21" max="26" width="15.42578125" style="12" hidden="1" customWidth="1"/>
    <col min="27" max="27" width="2.85546875" style="12" hidden="1" customWidth="1"/>
    <col min="28" max="16384" width="9.140625" style="12" hidden="1"/>
  </cols>
  <sheetData>
    <row r="1" spans="1:27" ht="23.25" x14ac:dyDescent="0.35">
      <c r="A1" s="57">
        <v>9</v>
      </c>
      <c r="B1" s="58" t="str">
        <f>INDEX(Domains,A1,3)</f>
        <v>Agency Capacity Building</v>
      </c>
      <c r="C1" s="59"/>
      <c r="D1" s="59"/>
      <c r="E1" s="59"/>
      <c r="F1" s="59"/>
      <c r="G1" s="59"/>
      <c r="H1" s="59"/>
      <c r="I1" s="59"/>
      <c r="J1" s="59"/>
      <c r="K1" s="59"/>
      <c r="L1" s="59"/>
      <c r="M1" s="59"/>
      <c r="N1" s="59"/>
      <c r="O1" s="59"/>
      <c r="P1" s="59"/>
    </row>
    <row r="2" spans="1:27" x14ac:dyDescent="0.25">
      <c r="B2" s="125"/>
      <c r="C2" s="59"/>
      <c r="D2" s="59"/>
      <c r="E2" s="59"/>
      <c r="F2" s="59"/>
      <c r="G2" s="59"/>
      <c r="H2" s="59"/>
      <c r="I2" s="59"/>
      <c r="J2" s="59"/>
      <c r="K2" s="59"/>
      <c r="L2" s="59"/>
      <c r="M2" s="59"/>
      <c r="N2" s="59"/>
      <c r="O2" s="59"/>
      <c r="P2" s="59"/>
      <c r="R2" s="126"/>
      <c r="S2" s="126"/>
      <c r="T2" s="126"/>
      <c r="U2" s="126"/>
      <c r="V2" s="126"/>
      <c r="W2" s="126"/>
      <c r="X2" s="126"/>
      <c r="Y2" s="126"/>
      <c r="Z2" s="126"/>
      <c r="AA2" s="126"/>
    </row>
    <row r="3" spans="1:27"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c r="R3" s="126"/>
      <c r="S3" s="61" t="s">
        <v>98</v>
      </c>
      <c r="T3" s="61"/>
      <c r="U3" s="63" t="str">
        <f>"Monthly Expenditures - " &amp; TEXT(InvoiceMonth,"mmmm yyyy")</f>
        <v>Monthly Expenditures - October 2019</v>
      </c>
      <c r="V3" s="62"/>
      <c r="W3" s="62"/>
      <c r="X3" s="63" t="s">
        <v>100</v>
      </c>
      <c r="Y3" s="62"/>
      <c r="Z3" s="64"/>
      <c r="AA3" s="126"/>
    </row>
    <row r="4" spans="1:27" x14ac:dyDescent="0.25">
      <c r="B4" s="124" t="str">
        <f>IF(TACA_OWNER,"includes TACA funding","")</f>
        <v/>
      </c>
      <c r="C4" s="67" t="s">
        <v>54</v>
      </c>
      <c r="D4" s="68" t="s">
        <v>97</v>
      </c>
      <c r="E4" s="68" t="s">
        <v>96</v>
      </c>
      <c r="F4" s="68" t="s">
        <v>51</v>
      </c>
      <c r="G4" s="69" t="s">
        <v>69</v>
      </c>
      <c r="H4" s="68" t="s">
        <v>96</v>
      </c>
      <c r="I4" s="68" t="s">
        <v>74</v>
      </c>
      <c r="J4" s="69" t="s">
        <v>69</v>
      </c>
      <c r="K4" s="68" t="s">
        <v>96</v>
      </c>
      <c r="L4" s="70" t="s">
        <v>74</v>
      </c>
      <c r="N4" s="71" t="s">
        <v>96</v>
      </c>
      <c r="P4" s="72" t="s">
        <v>96</v>
      </c>
      <c r="R4" s="126"/>
      <c r="S4" s="68" t="s">
        <v>54</v>
      </c>
      <c r="T4" s="68" t="s">
        <v>96</v>
      </c>
      <c r="U4" s="69" t="s">
        <v>69</v>
      </c>
      <c r="V4" s="68" t="s">
        <v>96</v>
      </c>
      <c r="W4" s="68" t="s">
        <v>74</v>
      </c>
      <c r="X4" s="69" t="s">
        <v>69</v>
      </c>
      <c r="Y4" s="68" t="s">
        <v>96</v>
      </c>
      <c r="Z4" s="70" t="s">
        <v>74</v>
      </c>
      <c r="AA4" s="126"/>
    </row>
    <row r="5" spans="1:27" x14ac:dyDescent="0.25">
      <c r="B5" s="73" t="str">
        <f t="array" ref="B5:B19">Categories</f>
        <v>Salaries</v>
      </c>
      <c r="C5" s="46">
        <f t="array" ref="C5:C19">S5:S19+TACA!AH32:AH46</f>
        <v>0</v>
      </c>
      <c r="D5" s="74">
        <f>SUM(C46:INDEX(C46:N46,IndexMonth))</f>
        <v>0</v>
      </c>
      <c r="E5" s="46">
        <f t="array" ref="E5:E19">T5:T19+TACA!AH11:AH25</f>
        <v>2100</v>
      </c>
      <c r="F5" s="75">
        <f>SUM(C5:E5)</f>
        <v>2100</v>
      </c>
      <c r="G5" s="76">
        <f t="array" ref="G5:G19">U5:U19+TACA!AG32:AG46</f>
        <v>0</v>
      </c>
      <c r="H5" s="74">
        <f t="array" ref="H5:H19">V5:V19+TACA!AG11:AG25</f>
        <v>0</v>
      </c>
      <c r="I5" s="75">
        <f>SUM(G5:H5)</f>
        <v>0</v>
      </c>
      <c r="J5" s="77">
        <f t="array" ref="J5:J19">X5:X19+TACA!AH32:AH46</f>
        <v>0</v>
      </c>
      <c r="K5" s="46">
        <f t="array" ref="K5:K19">Y5:Y19+TACA!AH11:AH25</f>
        <v>0</v>
      </c>
      <c r="L5" s="74">
        <f>SUM(J5:K5)</f>
        <v>0</v>
      </c>
      <c r="N5" s="46">
        <f t="array" ref="N5:N19">T5:T19-Y5:Y19</f>
        <v>2100</v>
      </c>
      <c r="P5" s="46">
        <f>MAX(0,S5+D5-X5)</f>
        <v>0</v>
      </c>
      <c r="R5" s="127"/>
      <c r="S5" s="74">
        <f t="array" ref="S5:S19">INDEX(budgetCurrent,,$A$1)</f>
        <v>0</v>
      </c>
      <c r="T5" s="75">
        <f t="array" ref="T5:T19">INDEX(budgetRollover,,$A$1)</f>
        <v>2100</v>
      </c>
      <c r="U5" s="76">
        <f>W5-V5</f>
        <v>0</v>
      </c>
      <c r="V5" s="74">
        <f>MIN(W5,MAX(0,T5-Z5+W5))</f>
        <v>0</v>
      </c>
      <c r="W5" s="75">
        <f t="array" ref="W5:W19">INDEX(C26:N40,,IndexMonth)</f>
        <v>0</v>
      </c>
      <c r="X5" s="77">
        <f>Z5-Y5</f>
        <v>0</v>
      </c>
      <c r="Y5" s="46">
        <f>MIN(T5,Z5)</f>
        <v>0</v>
      </c>
      <c r="Z5" s="74">
        <f>SUM(C26:INDEX(C26:N26,IndexMonth))</f>
        <v>0</v>
      </c>
      <c r="AA5" s="126"/>
    </row>
    <row r="6" spans="1:27" x14ac:dyDescent="0.25">
      <c r="B6" s="73" t="str">
        <v>Benefits &amp; Taxes</v>
      </c>
      <c r="C6" s="48">
        <v>14000</v>
      </c>
      <c r="D6" s="79">
        <f>SUM(C47:INDEX(C47:N47,IndexMonth))</f>
        <v>0</v>
      </c>
      <c r="E6" s="48">
        <v>1100</v>
      </c>
      <c r="F6" s="80">
        <f t="shared" ref="F6:F19" si="0">SUM(C6:E6)</f>
        <v>15100</v>
      </c>
      <c r="G6" s="81">
        <v>0</v>
      </c>
      <c r="H6" s="79">
        <v>0</v>
      </c>
      <c r="I6" s="80">
        <f t="shared" ref="I6:I19" si="1">SUM(G6:H6)</f>
        <v>0</v>
      </c>
      <c r="J6" s="82">
        <v>0</v>
      </c>
      <c r="K6" s="48">
        <v>0</v>
      </c>
      <c r="L6" s="79">
        <f t="shared" ref="L6:L19" si="2">SUM(J6:K6)</f>
        <v>0</v>
      </c>
      <c r="N6" s="48">
        <v>1100</v>
      </c>
      <c r="P6" s="48">
        <f t="shared" ref="P6:P19" si="3">MAX(0,S6+D6-X6)</f>
        <v>14000</v>
      </c>
      <c r="R6" s="126"/>
      <c r="S6" s="79">
        <v>14000</v>
      </c>
      <c r="T6" s="80">
        <v>1100</v>
      </c>
      <c r="U6" s="81">
        <f t="shared" ref="U6:U19" si="4">W6-V6</f>
        <v>0</v>
      </c>
      <c r="V6" s="79">
        <f t="shared" ref="V6:V19" si="5">MIN(W6,MAX(0,E6-Z6+W6))</f>
        <v>0</v>
      </c>
      <c r="W6" s="80">
        <v>0</v>
      </c>
      <c r="X6" s="82">
        <f t="shared" ref="X6:X19" si="6">Z6-Y6</f>
        <v>0</v>
      </c>
      <c r="Y6" s="48">
        <f t="shared" ref="Y6:Y19" si="7">MIN(T6,Z6)</f>
        <v>0</v>
      </c>
      <c r="Z6" s="79">
        <f>SUM(C27:INDEX(C27:N27,IndexMonth))</f>
        <v>0</v>
      </c>
      <c r="AA6" s="126"/>
    </row>
    <row r="7" spans="1:27" x14ac:dyDescent="0.25">
      <c r="B7" s="73" t="str">
        <v>Professional Fee / Grant &amp; Award</v>
      </c>
      <c r="C7" s="48">
        <v>8000</v>
      </c>
      <c r="D7" s="79">
        <f>SUM(C48:INDEX(C48:N48,IndexMonth))</f>
        <v>0</v>
      </c>
      <c r="E7" s="48">
        <v>0</v>
      </c>
      <c r="F7" s="80">
        <f t="shared" si="0"/>
        <v>8000</v>
      </c>
      <c r="G7" s="81">
        <v>0</v>
      </c>
      <c r="H7" s="79">
        <v>0</v>
      </c>
      <c r="I7" s="80">
        <f t="shared" si="1"/>
        <v>0</v>
      </c>
      <c r="J7" s="82">
        <v>0</v>
      </c>
      <c r="K7" s="48">
        <v>0</v>
      </c>
      <c r="L7" s="79">
        <f t="shared" si="2"/>
        <v>0</v>
      </c>
      <c r="N7" s="48">
        <v>0</v>
      </c>
      <c r="P7" s="48">
        <f t="shared" si="3"/>
        <v>8000</v>
      </c>
      <c r="R7" s="126"/>
      <c r="S7" s="79">
        <v>8000</v>
      </c>
      <c r="T7" s="80">
        <v>0</v>
      </c>
      <c r="U7" s="81">
        <f t="shared" si="4"/>
        <v>0</v>
      </c>
      <c r="V7" s="79">
        <f t="shared" si="5"/>
        <v>0</v>
      </c>
      <c r="W7" s="80">
        <v>0</v>
      </c>
      <c r="X7" s="82">
        <f t="shared" si="6"/>
        <v>0</v>
      </c>
      <c r="Y7" s="48">
        <f t="shared" si="7"/>
        <v>0</v>
      </c>
      <c r="Z7" s="79">
        <f>SUM(C28:INDEX(C28:N28,IndexMonth))</f>
        <v>0</v>
      </c>
      <c r="AA7" s="126"/>
    </row>
    <row r="8" spans="1:27" x14ac:dyDescent="0.25">
      <c r="B8" s="73" t="str">
        <v>Supplies</v>
      </c>
      <c r="C8" s="48">
        <v>13000</v>
      </c>
      <c r="D8" s="79">
        <f>SUM(C49:INDEX(C49:N49,IndexMonth))</f>
        <v>0</v>
      </c>
      <c r="E8" s="48">
        <v>1800</v>
      </c>
      <c r="F8" s="80">
        <f t="shared" si="0"/>
        <v>14800</v>
      </c>
      <c r="G8" s="81">
        <v>0</v>
      </c>
      <c r="H8" s="79">
        <v>0</v>
      </c>
      <c r="I8" s="80">
        <f t="shared" si="1"/>
        <v>0</v>
      </c>
      <c r="J8" s="82">
        <v>0</v>
      </c>
      <c r="K8" s="48">
        <v>0</v>
      </c>
      <c r="L8" s="79">
        <f t="shared" si="2"/>
        <v>0</v>
      </c>
      <c r="N8" s="48">
        <v>1800</v>
      </c>
      <c r="P8" s="48">
        <f t="shared" si="3"/>
        <v>13000</v>
      </c>
      <c r="R8" s="126"/>
      <c r="S8" s="79">
        <v>13000</v>
      </c>
      <c r="T8" s="80">
        <v>1800</v>
      </c>
      <c r="U8" s="81">
        <f t="shared" si="4"/>
        <v>0</v>
      </c>
      <c r="V8" s="79">
        <f t="shared" si="5"/>
        <v>0</v>
      </c>
      <c r="W8" s="80">
        <v>0</v>
      </c>
      <c r="X8" s="82">
        <f t="shared" si="6"/>
        <v>0</v>
      </c>
      <c r="Y8" s="48">
        <f t="shared" si="7"/>
        <v>0</v>
      </c>
      <c r="Z8" s="79">
        <f>SUM(C29:INDEX(C29:N29,IndexMonth))</f>
        <v>0</v>
      </c>
      <c r="AA8" s="126"/>
    </row>
    <row r="9" spans="1:27" x14ac:dyDescent="0.25">
      <c r="B9" s="73" t="str">
        <v>Telephone</v>
      </c>
      <c r="C9" s="48">
        <v>3000</v>
      </c>
      <c r="D9" s="79">
        <f>SUM(C50:INDEX(C50:N50,IndexMonth))</f>
        <v>0</v>
      </c>
      <c r="E9" s="48">
        <v>1200</v>
      </c>
      <c r="F9" s="80">
        <f t="shared" si="0"/>
        <v>4200</v>
      </c>
      <c r="G9" s="81">
        <v>0</v>
      </c>
      <c r="H9" s="79">
        <v>0</v>
      </c>
      <c r="I9" s="80">
        <f t="shared" si="1"/>
        <v>0</v>
      </c>
      <c r="J9" s="82">
        <v>0</v>
      </c>
      <c r="K9" s="48">
        <v>0</v>
      </c>
      <c r="L9" s="79">
        <f t="shared" si="2"/>
        <v>0</v>
      </c>
      <c r="N9" s="48">
        <v>1200</v>
      </c>
      <c r="P9" s="48">
        <f t="shared" si="3"/>
        <v>3000</v>
      </c>
      <c r="R9" s="126"/>
      <c r="S9" s="79">
        <v>3000</v>
      </c>
      <c r="T9" s="80">
        <v>1200</v>
      </c>
      <c r="U9" s="81">
        <f t="shared" si="4"/>
        <v>0</v>
      </c>
      <c r="V9" s="79">
        <f t="shared" si="5"/>
        <v>0</v>
      </c>
      <c r="W9" s="80">
        <v>0</v>
      </c>
      <c r="X9" s="82">
        <f t="shared" si="6"/>
        <v>0</v>
      </c>
      <c r="Y9" s="48">
        <f t="shared" si="7"/>
        <v>0</v>
      </c>
      <c r="Z9" s="79">
        <f>SUM(C30:INDEX(C30:N30,IndexMonth))</f>
        <v>0</v>
      </c>
      <c r="AA9" s="126"/>
    </row>
    <row r="10" spans="1:27" x14ac:dyDescent="0.25">
      <c r="B10" s="73" t="str">
        <v>Postage &amp; Shipping</v>
      </c>
      <c r="C10" s="48">
        <v>3000</v>
      </c>
      <c r="D10" s="79">
        <f>SUM(C51:INDEX(C51:N51,IndexMonth))</f>
        <v>0</v>
      </c>
      <c r="E10" s="48">
        <v>700</v>
      </c>
      <c r="F10" s="80">
        <f t="shared" si="0"/>
        <v>3700</v>
      </c>
      <c r="G10" s="81">
        <v>0</v>
      </c>
      <c r="H10" s="79">
        <v>0</v>
      </c>
      <c r="I10" s="80">
        <f t="shared" si="1"/>
        <v>0</v>
      </c>
      <c r="J10" s="82">
        <v>0</v>
      </c>
      <c r="K10" s="48">
        <v>0</v>
      </c>
      <c r="L10" s="79">
        <f t="shared" si="2"/>
        <v>0</v>
      </c>
      <c r="N10" s="48">
        <v>700</v>
      </c>
      <c r="P10" s="48">
        <f t="shared" si="3"/>
        <v>3000</v>
      </c>
      <c r="R10" s="126"/>
      <c r="S10" s="79">
        <v>3000</v>
      </c>
      <c r="T10" s="80">
        <v>700</v>
      </c>
      <c r="U10" s="81">
        <f t="shared" si="4"/>
        <v>0</v>
      </c>
      <c r="V10" s="79">
        <f t="shared" si="5"/>
        <v>0</v>
      </c>
      <c r="W10" s="80">
        <v>0</v>
      </c>
      <c r="X10" s="82">
        <f t="shared" si="6"/>
        <v>0</v>
      </c>
      <c r="Y10" s="48">
        <f t="shared" si="7"/>
        <v>0</v>
      </c>
      <c r="Z10" s="79">
        <f>SUM(C31:INDEX(C31:N31,IndexMonth))</f>
        <v>0</v>
      </c>
      <c r="AA10" s="126"/>
    </row>
    <row r="11" spans="1:27" x14ac:dyDescent="0.25">
      <c r="B11" s="73" t="str">
        <v>Occupancy</v>
      </c>
      <c r="C11" s="48">
        <v>4000</v>
      </c>
      <c r="D11" s="79">
        <f>SUM(C52:INDEX(C52:N52,IndexMonth))</f>
        <v>0</v>
      </c>
      <c r="E11" s="48">
        <v>2400</v>
      </c>
      <c r="F11" s="80">
        <f t="shared" si="0"/>
        <v>6400</v>
      </c>
      <c r="G11" s="81">
        <v>0</v>
      </c>
      <c r="H11" s="79">
        <v>0</v>
      </c>
      <c r="I11" s="80">
        <f t="shared" si="1"/>
        <v>0</v>
      </c>
      <c r="J11" s="82">
        <v>0</v>
      </c>
      <c r="K11" s="48">
        <v>0</v>
      </c>
      <c r="L11" s="79">
        <f t="shared" si="2"/>
        <v>0</v>
      </c>
      <c r="N11" s="48">
        <v>2400</v>
      </c>
      <c r="P11" s="48">
        <f t="shared" si="3"/>
        <v>4000</v>
      </c>
      <c r="R11" s="126"/>
      <c r="S11" s="79">
        <v>4000</v>
      </c>
      <c r="T11" s="80">
        <v>2400</v>
      </c>
      <c r="U11" s="81">
        <f t="shared" si="4"/>
        <v>0</v>
      </c>
      <c r="V11" s="79">
        <f t="shared" si="5"/>
        <v>0</v>
      </c>
      <c r="W11" s="80">
        <v>0</v>
      </c>
      <c r="X11" s="82">
        <f t="shared" si="6"/>
        <v>0</v>
      </c>
      <c r="Y11" s="48">
        <f t="shared" si="7"/>
        <v>0</v>
      </c>
      <c r="Z11" s="79">
        <f>SUM(C32:INDEX(C32:N32,IndexMonth))</f>
        <v>0</v>
      </c>
      <c r="AA11" s="126"/>
    </row>
    <row r="12" spans="1:27" x14ac:dyDescent="0.25">
      <c r="B12" s="73" t="str">
        <v>Equipment Rental &amp; Maintenance</v>
      </c>
      <c r="C12" s="48">
        <v>14000</v>
      </c>
      <c r="D12" s="79">
        <f>SUM(C53:INDEX(C53:N53,IndexMonth))</f>
        <v>0</v>
      </c>
      <c r="E12" s="48">
        <v>1700</v>
      </c>
      <c r="F12" s="80">
        <f t="shared" si="0"/>
        <v>15700</v>
      </c>
      <c r="G12" s="81">
        <v>0</v>
      </c>
      <c r="H12" s="79">
        <v>0</v>
      </c>
      <c r="I12" s="80">
        <f t="shared" si="1"/>
        <v>0</v>
      </c>
      <c r="J12" s="82">
        <v>0</v>
      </c>
      <c r="K12" s="48">
        <v>0</v>
      </c>
      <c r="L12" s="79">
        <f t="shared" si="2"/>
        <v>0</v>
      </c>
      <c r="N12" s="48">
        <v>1700</v>
      </c>
      <c r="P12" s="48">
        <f t="shared" si="3"/>
        <v>14000</v>
      </c>
      <c r="R12" s="126"/>
      <c r="S12" s="79">
        <v>14000</v>
      </c>
      <c r="T12" s="80">
        <v>1700</v>
      </c>
      <c r="U12" s="81">
        <f t="shared" si="4"/>
        <v>0</v>
      </c>
      <c r="V12" s="79">
        <f t="shared" si="5"/>
        <v>0</v>
      </c>
      <c r="W12" s="80">
        <v>0</v>
      </c>
      <c r="X12" s="82">
        <f t="shared" si="6"/>
        <v>0</v>
      </c>
      <c r="Y12" s="48">
        <f t="shared" si="7"/>
        <v>0</v>
      </c>
      <c r="Z12" s="79">
        <f>SUM(C33:INDEX(C33:N33,IndexMonth))</f>
        <v>0</v>
      </c>
      <c r="AA12" s="126"/>
    </row>
    <row r="13" spans="1:27" x14ac:dyDescent="0.25">
      <c r="B13" s="73" t="str">
        <v>Printing &amp; Publications</v>
      </c>
      <c r="C13" s="48">
        <v>8000</v>
      </c>
      <c r="D13" s="79">
        <f>SUM(C54:INDEX(C54:N54,IndexMonth))</f>
        <v>0</v>
      </c>
      <c r="E13" s="48">
        <v>2500</v>
      </c>
      <c r="F13" s="80">
        <f t="shared" si="0"/>
        <v>10500</v>
      </c>
      <c r="G13" s="81">
        <v>0</v>
      </c>
      <c r="H13" s="79">
        <v>0</v>
      </c>
      <c r="I13" s="80">
        <f t="shared" si="1"/>
        <v>0</v>
      </c>
      <c r="J13" s="82">
        <v>0</v>
      </c>
      <c r="K13" s="48">
        <v>0</v>
      </c>
      <c r="L13" s="79">
        <f t="shared" si="2"/>
        <v>0</v>
      </c>
      <c r="N13" s="48">
        <v>2500</v>
      </c>
      <c r="P13" s="48">
        <f t="shared" si="3"/>
        <v>8000</v>
      </c>
      <c r="R13" s="126"/>
      <c r="S13" s="79">
        <v>8000</v>
      </c>
      <c r="T13" s="80">
        <v>2500</v>
      </c>
      <c r="U13" s="81">
        <f t="shared" si="4"/>
        <v>0</v>
      </c>
      <c r="V13" s="79">
        <f t="shared" si="5"/>
        <v>0</v>
      </c>
      <c r="W13" s="80">
        <v>0</v>
      </c>
      <c r="X13" s="82">
        <f t="shared" si="6"/>
        <v>0</v>
      </c>
      <c r="Y13" s="48">
        <f t="shared" si="7"/>
        <v>0</v>
      </c>
      <c r="Z13" s="79">
        <f>SUM(C34:INDEX(C34:N34,IndexMonth))</f>
        <v>0</v>
      </c>
      <c r="AA13" s="126"/>
    </row>
    <row r="14" spans="1:27" x14ac:dyDescent="0.25">
      <c r="B14" s="73" t="str">
        <v>Travel / Conferences &amp; Meetings</v>
      </c>
      <c r="C14" s="48">
        <v>13000</v>
      </c>
      <c r="D14" s="79">
        <f>SUM(C55:INDEX(C55:N55,IndexMonth))</f>
        <v>0</v>
      </c>
      <c r="E14" s="48">
        <v>0</v>
      </c>
      <c r="F14" s="80">
        <f t="shared" si="0"/>
        <v>13000</v>
      </c>
      <c r="G14" s="81">
        <v>0</v>
      </c>
      <c r="H14" s="79">
        <v>0</v>
      </c>
      <c r="I14" s="80">
        <f t="shared" si="1"/>
        <v>0</v>
      </c>
      <c r="J14" s="82">
        <v>0</v>
      </c>
      <c r="K14" s="48">
        <v>0</v>
      </c>
      <c r="L14" s="79">
        <f t="shared" si="2"/>
        <v>0</v>
      </c>
      <c r="N14" s="48">
        <v>0</v>
      </c>
      <c r="P14" s="48">
        <f t="shared" si="3"/>
        <v>13000</v>
      </c>
      <c r="R14" s="126"/>
      <c r="S14" s="79">
        <v>13000</v>
      </c>
      <c r="T14" s="80">
        <v>0</v>
      </c>
      <c r="U14" s="81">
        <f t="shared" si="4"/>
        <v>0</v>
      </c>
      <c r="V14" s="79">
        <f t="shared" si="5"/>
        <v>0</v>
      </c>
      <c r="W14" s="80">
        <v>0</v>
      </c>
      <c r="X14" s="82">
        <f t="shared" si="6"/>
        <v>0</v>
      </c>
      <c r="Y14" s="48">
        <f t="shared" si="7"/>
        <v>0</v>
      </c>
      <c r="Z14" s="79">
        <f>SUM(C35:INDEX(C35:N35,IndexMonth))</f>
        <v>0</v>
      </c>
      <c r="AA14" s="126"/>
    </row>
    <row r="15" spans="1:27" x14ac:dyDescent="0.25">
      <c r="B15" s="73" t="str">
        <v>Insurance</v>
      </c>
      <c r="C15" s="48">
        <v>8000</v>
      </c>
      <c r="D15" s="79">
        <f>SUM(C56:INDEX(C56:N56,IndexMonth))</f>
        <v>0</v>
      </c>
      <c r="E15" s="48">
        <v>800</v>
      </c>
      <c r="F15" s="80">
        <f t="shared" si="0"/>
        <v>8800</v>
      </c>
      <c r="G15" s="81">
        <v>0</v>
      </c>
      <c r="H15" s="79">
        <v>0</v>
      </c>
      <c r="I15" s="80">
        <f t="shared" si="1"/>
        <v>0</v>
      </c>
      <c r="J15" s="82">
        <v>0</v>
      </c>
      <c r="K15" s="48">
        <v>0</v>
      </c>
      <c r="L15" s="79">
        <f t="shared" si="2"/>
        <v>0</v>
      </c>
      <c r="N15" s="48">
        <v>800</v>
      </c>
      <c r="P15" s="48">
        <f t="shared" si="3"/>
        <v>8000</v>
      </c>
      <c r="R15" s="126"/>
      <c r="S15" s="79">
        <v>8000</v>
      </c>
      <c r="T15" s="80">
        <v>800</v>
      </c>
      <c r="U15" s="81">
        <f t="shared" si="4"/>
        <v>0</v>
      </c>
      <c r="V15" s="79">
        <f t="shared" si="5"/>
        <v>0</v>
      </c>
      <c r="W15" s="80">
        <v>0</v>
      </c>
      <c r="X15" s="82">
        <f t="shared" si="6"/>
        <v>0</v>
      </c>
      <c r="Y15" s="48">
        <f t="shared" si="7"/>
        <v>0</v>
      </c>
      <c r="Z15" s="79">
        <f>SUM(C36:INDEX(C36:N36,IndexMonth))</f>
        <v>0</v>
      </c>
      <c r="AA15" s="126"/>
    </row>
    <row r="16" spans="1:27" x14ac:dyDescent="0.25">
      <c r="B16" s="73" t="str">
        <v>Specific Assistance to Individuals</v>
      </c>
      <c r="C16" s="48">
        <v>3000</v>
      </c>
      <c r="D16" s="79">
        <f>SUM(C57:INDEX(C57:N57,IndexMonth))</f>
        <v>0</v>
      </c>
      <c r="E16" s="48">
        <v>2400</v>
      </c>
      <c r="F16" s="80">
        <f t="shared" si="0"/>
        <v>5400</v>
      </c>
      <c r="G16" s="81">
        <v>0</v>
      </c>
      <c r="H16" s="79">
        <v>0</v>
      </c>
      <c r="I16" s="80">
        <f t="shared" si="1"/>
        <v>0</v>
      </c>
      <c r="J16" s="82">
        <v>0</v>
      </c>
      <c r="K16" s="48">
        <v>0</v>
      </c>
      <c r="L16" s="79">
        <f t="shared" si="2"/>
        <v>0</v>
      </c>
      <c r="N16" s="48">
        <v>2400</v>
      </c>
      <c r="P16" s="48">
        <f t="shared" si="3"/>
        <v>3000</v>
      </c>
      <c r="R16" s="126"/>
      <c r="S16" s="79">
        <v>3000</v>
      </c>
      <c r="T16" s="80">
        <v>2400</v>
      </c>
      <c r="U16" s="81">
        <f t="shared" si="4"/>
        <v>0</v>
      </c>
      <c r="V16" s="79">
        <f t="shared" si="5"/>
        <v>0</v>
      </c>
      <c r="W16" s="80">
        <v>0</v>
      </c>
      <c r="X16" s="82">
        <f t="shared" si="6"/>
        <v>0</v>
      </c>
      <c r="Y16" s="48">
        <f t="shared" si="7"/>
        <v>0</v>
      </c>
      <c r="Z16" s="79">
        <f>SUM(C37:INDEX(C37:N37,IndexMonth))</f>
        <v>0</v>
      </c>
      <c r="AA16" s="126"/>
    </row>
    <row r="17" spans="2:27" x14ac:dyDescent="0.25">
      <c r="B17" s="73" t="str">
        <v>Depreciation</v>
      </c>
      <c r="C17" s="48">
        <v>3000</v>
      </c>
      <c r="D17" s="79">
        <f>SUM(C58:INDEX(C58:N58,IndexMonth))</f>
        <v>0</v>
      </c>
      <c r="E17" s="48">
        <v>1400</v>
      </c>
      <c r="F17" s="80">
        <f t="shared" si="0"/>
        <v>4400</v>
      </c>
      <c r="G17" s="81">
        <v>0</v>
      </c>
      <c r="H17" s="79">
        <v>0</v>
      </c>
      <c r="I17" s="80">
        <f t="shared" si="1"/>
        <v>0</v>
      </c>
      <c r="J17" s="82">
        <v>0</v>
      </c>
      <c r="K17" s="48">
        <v>0</v>
      </c>
      <c r="L17" s="79">
        <f t="shared" si="2"/>
        <v>0</v>
      </c>
      <c r="N17" s="48">
        <v>1400</v>
      </c>
      <c r="P17" s="48">
        <f t="shared" si="3"/>
        <v>3000</v>
      </c>
      <c r="R17" s="126"/>
      <c r="S17" s="79">
        <v>3000</v>
      </c>
      <c r="T17" s="80">
        <v>1400</v>
      </c>
      <c r="U17" s="81">
        <f t="shared" si="4"/>
        <v>0</v>
      </c>
      <c r="V17" s="79">
        <f t="shared" si="5"/>
        <v>0</v>
      </c>
      <c r="W17" s="80">
        <v>0</v>
      </c>
      <c r="X17" s="82">
        <f t="shared" si="6"/>
        <v>0</v>
      </c>
      <c r="Y17" s="48">
        <f t="shared" si="7"/>
        <v>0</v>
      </c>
      <c r="Z17" s="79">
        <f>SUM(C38:INDEX(C38:N38,IndexMonth))</f>
        <v>0</v>
      </c>
      <c r="AA17" s="126"/>
    </row>
    <row r="18" spans="2:27" x14ac:dyDescent="0.25">
      <c r="B18" s="73" t="str">
        <v>Other Non_Personnel</v>
      </c>
      <c r="C18" s="48">
        <v>10000</v>
      </c>
      <c r="D18" s="79">
        <f>SUM(C59:INDEX(C59:N59,IndexMonth))</f>
        <v>0</v>
      </c>
      <c r="E18" s="48">
        <v>1200</v>
      </c>
      <c r="F18" s="80">
        <f t="shared" si="0"/>
        <v>11200</v>
      </c>
      <c r="G18" s="81">
        <v>0</v>
      </c>
      <c r="H18" s="79">
        <v>0</v>
      </c>
      <c r="I18" s="80">
        <f t="shared" si="1"/>
        <v>0</v>
      </c>
      <c r="J18" s="82">
        <v>0</v>
      </c>
      <c r="K18" s="48">
        <v>0</v>
      </c>
      <c r="L18" s="79">
        <f t="shared" si="2"/>
        <v>0</v>
      </c>
      <c r="N18" s="48">
        <v>1200</v>
      </c>
      <c r="P18" s="48">
        <f t="shared" si="3"/>
        <v>10000</v>
      </c>
      <c r="R18" s="126"/>
      <c r="S18" s="79">
        <v>10000</v>
      </c>
      <c r="T18" s="80">
        <v>1200</v>
      </c>
      <c r="U18" s="81">
        <f t="shared" si="4"/>
        <v>0</v>
      </c>
      <c r="V18" s="79">
        <f t="shared" si="5"/>
        <v>0</v>
      </c>
      <c r="W18" s="80">
        <v>0</v>
      </c>
      <c r="X18" s="82">
        <f t="shared" si="6"/>
        <v>0</v>
      </c>
      <c r="Y18" s="48">
        <f t="shared" si="7"/>
        <v>0</v>
      </c>
      <c r="Z18" s="79">
        <f>SUM(C39:INDEX(C39:N39,IndexMonth))</f>
        <v>0</v>
      </c>
      <c r="AA18" s="126"/>
    </row>
    <row r="19" spans="2:27" x14ac:dyDescent="0.25">
      <c r="B19" s="73" t="str">
        <v>Indirect Cost / Adm. Exp. / M&amp;G</v>
      </c>
      <c r="C19" s="50">
        <v>5000</v>
      </c>
      <c r="D19" s="83">
        <f>SUM(C60:INDEX(C60:N60,IndexMonth))</f>
        <v>0</v>
      </c>
      <c r="E19" s="50">
        <v>1300</v>
      </c>
      <c r="F19" s="84">
        <f t="shared" si="0"/>
        <v>6300</v>
      </c>
      <c r="G19" s="85">
        <v>0</v>
      </c>
      <c r="H19" s="83">
        <v>0</v>
      </c>
      <c r="I19" s="84">
        <f t="shared" si="1"/>
        <v>0</v>
      </c>
      <c r="J19" s="86">
        <v>0</v>
      </c>
      <c r="K19" s="50">
        <v>0</v>
      </c>
      <c r="L19" s="83">
        <f t="shared" si="2"/>
        <v>0</v>
      </c>
      <c r="N19" s="50">
        <v>1300</v>
      </c>
      <c r="P19" s="50">
        <f t="shared" si="3"/>
        <v>5000</v>
      </c>
      <c r="R19" s="126"/>
      <c r="S19" s="83">
        <v>5000</v>
      </c>
      <c r="T19" s="84">
        <v>1300</v>
      </c>
      <c r="U19" s="85">
        <f t="shared" si="4"/>
        <v>0</v>
      </c>
      <c r="V19" s="83">
        <f t="shared" si="5"/>
        <v>0</v>
      </c>
      <c r="W19" s="84">
        <v>0</v>
      </c>
      <c r="X19" s="86">
        <f t="shared" si="6"/>
        <v>0</v>
      </c>
      <c r="Y19" s="50">
        <f t="shared" si="7"/>
        <v>0</v>
      </c>
      <c r="Z19" s="83">
        <f>SUM(C40:INDEX(C40:N40,IndexMonth))</f>
        <v>0</v>
      </c>
      <c r="AA19" s="126"/>
    </row>
    <row r="20" spans="2:27" x14ac:dyDescent="0.25">
      <c r="B20" s="87" t="s">
        <v>51</v>
      </c>
      <c r="C20" s="88">
        <f>SUM(C5:C19)</f>
        <v>109000</v>
      </c>
      <c r="D20" s="88">
        <f t="shared" ref="D20:F20" si="8">SUM(D5:D19)</f>
        <v>0</v>
      </c>
      <c r="E20" s="88">
        <f t="shared" si="8"/>
        <v>20600</v>
      </c>
      <c r="F20" s="88">
        <f t="shared" si="8"/>
        <v>129600</v>
      </c>
      <c r="G20" s="88">
        <f t="shared" ref="G20" si="9">SUM(G5:G19)</f>
        <v>0</v>
      </c>
      <c r="H20" s="88">
        <f t="shared" ref="H20" si="10">SUM(H5:H19)</f>
        <v>0</v>
      </c>
      <c r="I20" s="88">
        <f t="shared" ref="I20" si="11">SUM(I5:I19)</f>
        <v>0</v>
      </c>
      <c r="J20" s="88">
        <f t="shared" ref="J20" si="12">SUM(J5:J19)</f>
        <v>0</v>
      </c>
      <c r="K20" s="88">
        <f t="shared" ref="K20" si="13">SUM(K5:K19)</f>
        <v>0</v>
      </c>
      <c r="L20" s="88">
        <f t="shared" ref="L20" si="14">SUM(L5:L19)</f>
        <v>0</v>
      </c>
      <c r="N20" s="88">
        <f t="shared" ref="N20:P20" si="15">SUM(N5:N19)</f>
        <v>20600</v>
      </c>
      <c r="P20" s="88">
        <f t="shared" si="15"/>
        <v>109000</v>
      </c>
      <c r="R20" s="126"/>
      <c r="S20" s="88">
        <f t="shared" ref="S20:T20" si="16">SUM(S5:S19)</f>
        <v>109000</v>
      </c>
      <c r="T20" s="88">
        <f t="shared" si="16"/>
        <v>20600</v>
      </c>
      <c r="U20" s="88">
        <f t="shared" ref="U20:Z20" si="17">SUM(U5:U19)</f>
        <v>0</v>
      </c>
      <c r="V20" s="88">
        <f t="shared" si="17"/>
        <v>0</v>
      </c>
      <c r="W20" s="88">
        <f t="shared" si="17"/>
        <v>0</v>
      </c>
      <c r="X20" s="88">
        <f t="shared" si="17"/>
        <v>0</v>
      </c>
      <c r="Y20" s="88">
        <f t="shared" si="17"/>
        <v>0</v>
      </c>
      <c r="Z20" s="88">
        <f t="shared" si="17"/>
        <v>0</v>
      </c>
      <c r="AA20" s="126"/>
    </row>
    <row r="21" spans="2:27" x14ac:dyDescent="0.25">
      <c r="R21" s="126"/>
      <c r="S21" s="126"/>
      <c r="T21" s="126"/>
      <c r="U21" s="126"/>
      <c r="V21" s="126"/>
      <c r="W21" s="126"/>
      <c r="X21" s="126"/>
      <c r="Y21" s="126"/>
      <c r="Z21" s="126"/>
      <c r="AA21" s="126"/>
    </row>
    <row r="22" spans="2:27" x14ac:dyDescent="0.25"/>
    <row r="23" spans="2:27" x14ac:dyDescent="0.25">
      <c r="B23" s="124" t="str">
        <f>IF(TACA_OWNER,"(do not include TACA expenditures on this worksheet.)","")</f>
        <v/>
      </c>
    </row>
    <row r="24" spans="2:27"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27" ht="3.75" customHeight="1" x14ac:dyDescent="0.25"/>
    <row r="26" spans="2:27" x14ac:dyDescent="0.25">
      <c r="B26" s="73" t="str">
        <f t="array" ref="B26:B40">Categories</f>
        <v>Salaries</v>
      </c>
      <c r="C26" s="98"/>
      <c r="D26" s="99"/>
      <c r="E26" s="99"/>
      <c r="F26" s="99"/>
      <c r="G26" s="99"/>
      <c r="H26" s="99"/>
      <c r="I26" s="99"/>
      <c r="J26" s="99"/>
      <c r="K26" s="99"/>
      <c r="L26" s="99"/>
      <c r="M26" s="99"/>
      <c r="N26" s="100"/>
      <c r="O26" s="92">
        <f t="shared" ref="O26:O40" si="18">IFERROR((12*X5)/(IndexMonth*SUM(S5,D5)),0)</f>
        <v>0</v>
      </c>
      <c r="P26" s="93">
        <f>SUM(C26:INDEX(C26:N26,IndexMonth))</f>
        <v>0</v>
      </c>
    </row>
    <row r="27" spans="2:27" x14ac:dyDescent="0.25">
      <c r="B27" s="73" t="str">
        <v>Benefits &amp; Taxes</v>
      </c>
      <c r="C27" s="98"/>
      <c r="D27" s="99"/>
      <c r="E27" s="99"/>
      <c r="F27" s="99"/>
      <c r="G27" s="99"/>
      <c r="H27" s="99"/>
      <c r="I27" s="99"/>
      <c r="J27" s="99"/>
      <c r="K27" s="99"/>
      <c r="L27" s="99"/>
      <c r="M27" s="99"/>
      <c r="N27" s="100"/>
      <c r="O27" s="92">
        <f t="shared" si="18"/>
        <v>0</v>
      </c>
      <c r="P27" s="93">
        <f>SUM(C27:INDEX(C27:N27,IndexMonth))</f>
        <v>0</v>
      </c>
    </row>
    <row r="28" spans="2:27" x14ac:dyDescent="0.25">
      <c r="B28" s="73" t="str">
        <v>Professional Fee / Grant &amp; Award</v>
      </c>
      <c r="C28" s="98"/>
      <c r="D28" s="99"/>
      <c r="E28" s="99"/>
      <c r="F28" s="99"/>
      <c r="G28" s="99"/>
      <c r="H28" s="99"/>
      <c r="I28" s="99"/>
      <c r="J28" s="99"/>
      <c r="K28" s="99"/>
      <c r="L28" s="99"/>
      <c r="M28" s="99"/>
      <c r="N28" s="100"/>
      <c r="O28" s="92">
        <f t="shared" si="18"/>
        <v>0</v>
      </c>
      <c r="P28" s="93">
        <f>SUM(C28:INDEX(C28:N28,IndexMonth))</f>
        <v>0</v>
      </c>
    </row>
    <row r="29" spans="2:27" x14ac:dyDescent="0.25">
      <c r="B29" s="73" t="str">
        <v>Supplies</v>
      </c>
      <c r="C29" s="98"/>
      <c r="D29" s="99"/>
      <c r="E29" s="99"/>
      <c r="F29" s="99"/>
      <c r="G29" s="99"/>
      <c r="H29" s="99"/>
      <c r="I29" s="99"/>
      <c r="J29" s="99"/>
      <c r="K29" s="99"/>
      <c r="L29" s="99"/>
      <c r="M29" s="99"/>
      <c r="N29" s="100"/>
      <c r="O29" s="92">
        <f t="shared" si="18"/>
        <v>0</v>
      </c>
      <c r="P29" s="93">
        <f>SUM(C29:INDEX(C29:N29,IndexMonth))</f>
        <v>0</v>
      </c>
    </row>
    <row r="30" spans="2:27" x14ac:dyDescent="0.25">
      <c r="B30" s="73" t="str">
        <v>Telephone</v>
      </c>
      <c r="C30" s="98"/>
      <c r="D30" s="99"/>
      <c r="E30" s="99"/>
      <c r="F30" s="99"/>
      <c r="G30" s="99"/>
      <c r="H30" s="99"/>
      <c r="I30" s="99"/>
      <c r="J30" s="99"/>
      <c r="K30" s="99"/>
      <c r="L30" s="99"/>
      <c r="M30" s="99"/>
      <c r="N30" s="100"/>
      <c r="O30" s="92">
        <f t="shared" si="18"/>
        <v>0</v>
      </c>
      <c r="P30" s="93">
        <f>SUM(C30:INDEX(C30:N30,IndexMonth))</f>
        <v>0</v>
      </c>
      <c r="T30" s="129"/>
      <c r="U30" s="78"/>
      <c r="V30" s="129"/>
    </row>
    <row r="31" spans="2:27" x14ac:dyDescent="0.25">
      <c r="B31" s="73" t="str">
        <v>Postage &amp; Shipping</v>
      </c>
      <c r="C31" s="98"/>
      <c r="D31" s="99"/>
      <c r="E31" s="99"/>
      <c r="F31" s="99"/>
      <c r="G31" s="99"/>
      <c r="H31" s="99"/>
      <c r="I31" s="99"/>
      <c r="J31" s="99"/>
      <c r="K31" s="99"/>
      <c r="L31" s="99"/>
      <c r="M31" s="99"/>
      <c r="N31" s="100"/>
      <c r="O31" s="92">
        <f t="shared" si="18"/>
        <v>0</v>
      </c>
      <c r="P31" s="93">
        <f>SUM(C31:INDEX(C31:N31,IndexMonth))</f>
        <v>0</v>
      </c>
      <c r="V31" s="78"/>
    </row>
    <row r="32" spans="2:27" x14ac:dyDescent="0.25">
      <c r="B32" s="73" t="str">
        <v>Occupancy</v>
      </c>
      <c r="C32" s="98"/>
      <c r="D32" s="99"/>
      <c r="E32" s="99"/>
      <c r="F32" s="99"/>
      <c r="G32" s="99"/>
      <c r="H32" s="99"/>
      <c r="I32" s="99"/>
      <c r="J32" s="99"/>
      <c r="K32" s="99"/>
      <c r="L32" s="99"/>
      <c r="M32" s="99"/>
      <c r="N32" s="100"/>
      <c r="O32" s="92">
        <f t="shared" si="1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1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1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1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1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1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1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1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18"/>
        <v>0</v>
      </c>
      <c r="P40" s="93">
        <f>SUM(C40:INDEX(C40:N40,IndexMonth))</f>
        <v>0</v>
      </c>
    </row>
    <row r="41" spans="2:16" x14ac:dyDescent="0.25">
      <c r="B41" s="87" t="str">
        <f>IF(TACA_OWNER,"Total excluding TACA","Total")</f>
        <v>Total</v>
      </c>
      <c r="C41" s="94">
        <f>SUM(C26:C40)</f>
        <v>0</v>
      </c>
      <c r="D41" s="94">
        <f t="shared" ref="D41:P41" si="19">SUM(D26:D40)</f>
        <v>0</v>
      </c>
      <c r="E41" s="94">
        <f t="shared" si="19"/>
        <v>0</v>
      </c>
      <c r="F41" s="94">
        <f t="shared" si="19"/>
        <v>0</v>
      </c>
      <c r="G41" s="94">
        <f t="shared" si="19"/>
        <v>0</v>
      </c>
      <c r="H41" s="94">
        <f t="shared" si="19"/>
        <v>0</v>
      </c>
      <c r="I41" s="94">
        <f t="shared" si="19"/>
        <v>0</v>
      </c>
      <c r="J41" s="94">
        <f t="shared" si="19"/>
        <v>0</v>
      </c>
      <c r="K41" s="94">
        <f t="shared" si="19"/>
        <v>0</v>
      </c>
      <c r="L41" s="94">
        <f t="shared" si="19"/>
        <v>0</v>
      </c>
      <c r="M41" s="94">
        <f t="shared" si="19"/>
        <v>0</v>
      </c>
      <c r="N41" s="94">
        <f t="shared" si="19"/>
        <v>0</v>
      </c>
      <c r="O41" s="90"/>
      <c r="P41" s="94">
        <f t="shared" si="1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20">SUM(C46:C60)</f>
        <v>0</v>
      </c>
      <c r="D61" s="94">
        <f t="shared" si="20"/>
        <v>0</v>
      </c>
      <c r="E61" s="94">
        <f t="shared" si="20"/>
        <v>0</v>
      </c>
      <c r="F61" s="94">
        <f t="shared" si="20"/>
        <v>0</v>
      </c>
      <c r="G61" s="94">
        <f t="shared" si="20"/>
        <v>0</v>
      </c>
      <c r="H61" s="94">
        <f t="shared" si="20"/>
        <v>0</v>
      </c>
      <c r="I61" s="94">
        <f t="shared" si="20"/>
        <v>0</v>
      </c>
      <c r="J61" s="94">
        <f t="shared" si="20"/>
        <v>0</v>
      </c>
      <c r="K61" s="94">
        <f t="shared" si="20"/>
        <v>0</v>
      </c>
      <c r="L61" s="94">
        <f t="shared" si="20"/>
        <v>0</v>
      </c>
      <c r="M61" s="94">
        <f t="shared" si="20"/>
        <v>0</v>
      </c>
      <c r="N61" s="94">
        <f t="shared" si="20"/>
        <v>0</v>
      </c>
      <c r="O61" s="90"/>
      <c r="P61" s="94">
        <f t="shared" ref="P61" si="2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E+wlTqE+QaZpyMIuYKgH4WXcxC/92AeRrOlnBh102QhQBDb2D3ZB7XrXPc7sg3g66TGr2yb4MQNqTsbrB/wFYQ==" saltValue="FcpzeQJdu1LgsnmwotyFqQ=="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12" priority="4">
      <formula>C$24&gt;InvoiceMonth</formula>
    </cfRule>
    <cfRule type="expression" dxfId="11" priority="5">
      <formula>C$24&lt;InvoiceMonth</formula>
    </cfRule>
  </conditionalFormatting>
  <conditionalFormatting sqref="C26:N40">
    <cfRule type="expression" dxfId="10" priority="1" stopIfTrue="1">
      <formula>AND(SUM($S5:$T5,$D5)=0,C26&lt;&gt;0)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F174C533-D50A-4B51-91C1-DB3C57A425E6}">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ABFFE83A-26E9-4031-8E61-8C26765CDC23}">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3136-CBAB-46D1-89D9-D7041EE98F0C}">
  <sheetPr codeName="Sheet14"/>
  <dimension ref="A1:R81"/>
  <sheetViews>
    <sheetView showGridLines="0" workbookViewId="0">
      <selection activeCell="C26" sqref="C26"/>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3.28515625" style="12" customWidth="1"/>
    <col min="16" max="16" width="15.28515625" style="12" customWidth="1"/>
    <col min="17" max="17" width="2.85546875" style="12" customWidth="1"/>
    <col min="18" max="18" width="10.5703125" style="12" hidden="1" customWidth="1"/>
    <col min="19" max="16384" width="9.140625" style="12" hidden="1"/>
  </cols>
  <sheetData>
    <row r="1" spans="1:18" ht="23.25" x14ac:dyDescent="0.35">
      <c r="A1" s="57">
        <v>10</v>
      </c>
      <c r="B1" s="58" t="str">
        <f>INDEX(Domains,A1,3)</f>
        <v>Other (e.g., emergency management / disaster relief)</v>
      </c>
      <c r="C1" s="59"/>
      <c r="D1" s="59"/>
      <c r="E1" s="59"/>
      <c r="F1" s="59"/>
      <c r="G1" s="59"/>
      <c r="H1" s="59"/>
      <c r="I1" s="59"/>
      <c r="J1" s="59"/>
      <c r="K1" s="59"/>
      <c r="L1" s="59"/>
      <c r="M1" s="59"/>
      <c r="N1" s="59"/>
      <c r="O1" s="59"/>
      <c r="P1" s="59"/>
    </row>
    <row r="2" spans="1:18" x14ac:dyDescent="0.25"/>
    <row r="3" spans="1:18" ht="21" x14ac:dyDescent="0.35">
      <c r="B3" s="60" t="s">
        <v>72</v>
      </c>
      <c r="C3" s="61" t="s">
        <v>98</v>
      </c>
      <c r="D3" s="62"/>
      <c r="E3" s="62"/>
      <c r="F3" s="62"/>
      <c r="G3" s="63" t="str">
        <f>"Monthly Expenditures - " &amp; TEXT(InvoiceMonth,"mmmm yyyy")</f>
        <v>Monthly Expenditures - October 2019</v>
      </c>
      <c r="H3" s="62"/>
      <c r="I3" s="62"/>
      <c r="J3" s="63" t="s">
        <v>100</v>
      </c>
      <c r="K3" s="62"/>
      <c r="L3" s="64"/>
      <c r="N3" s="65" t="s">
        <v>99</v>
      </c>
      <c r="P3" s="66" t="s">
        <v>71</v>
      </c>
    </row>
    <row r="4" spans="1:18" x14ac:dyDescent="0.25">
      <c r="C4" s="67" t="s">
        <v>54</v>
      </c>
      <c r="D4" s="68" t="s">
        <v>97</v>
      </c>
      <c r="E4" s="68" t="s">
        <v>96</v>
      </c>
      <c r="F4" s="68" t="s">
        <v>51</v>
      </c>
      <c r="G4" s="69" t="s">
        <v>69</v>
      </c>
      <c r="H4" s="68" t="s">
        <v>96</v>
      </c>
      <c r="I4" s="68" t="s">
        <v>74</v>
      </c>
      <c r="J4" s="69" t="s">
        <v>69</v>
      </c>
      <c r="K4" s="68" t="s">
        <v>96</v>
      </c>
      <c r="L4" s="70" t="s">
        <v>74</v>
      </c>
      <c r="N4" s="71" t="s">
        <v>96</v>
      </c>
      <c r="P4" s="72" t="s">
        <v>96</v>
      </c>
    </row>
    <row r="5" spans="1:18" x14ac:dyDescent="0.25">
      <c r="B5" s="73" t="str">
        <f t="array" ref="B5:B19">Categories</f>
        <v>Salaries</v>
      </c>
      <c r="C5" s="46">
        <f t="array" ref="C5:C19">INDEX(budgetCurrent,,$A$1)</f>
        <v>0</v>
      </c>
      <c r="D5" s="74">
        <f>SUM(C46:INDEX(C46:N46,IndexMonth))</f>
        <v>0</v>
      </c>
      <c r="E5" s="46">
        <f t="array" ref="E5:E19">INDEX(budgetRollover,,$A$1)</f>
        <v>0</v>
      </c>
      <c r="F5" s="75">
        <f t="shared" ref="F5:F19" si="0">C5+E5+D5</f>
        <v>0</v>
      </c>
      <c r="G5" s="76">
        <f>I5-H5</f>
        <v>0</v>
      </c>
      <c r="H5" s="74">
        <f t="shared" ref="H5:H19" si="1">MIN(I5,MAX(0,E5-L5+I5))</f>
        <v>0</v>
      </c>
      <c r="I5" s="75">
        <f t="array" ref="I5:I19">INDEX(C26:N40,,IndexMonth)</f>
        <v>0</v>
      </c>
      <c r="J5" s="77">
        <f>L5-K5</f>
        <v>0</v>
      </c>
      <c r="K5" s="46">
        <f t="shared" ref="K5:K19" si="2">MIN(E5,L5)</f>
        <v>0</v>
      </c>
      <c r="L5" s="74">
        <f>SUM(C26:INDEX(C26:N26,IndexMonth))</f>
        <v>0</v>
      </c>
      <c r="N5" s="46">
        <f>E5-K5</f>
        <v>0</v>
      </c>
      <c r="P5" s="46">
        <f t="shared" ref="P5:P19" si="3">MAX(0,SUM(C5:D5)-J5)</f>
        <v>0</v>
      </c>
      <c r="R5" s="78"/>
    </row>
    <row r="6" spans="1:18" x14ac:dyDescent="0.25">
      <c r="B6" s="73" t="str">
        <v>Benefits &amp; Taxes</v>
      </c>
      <c r="C6" s="48">
        <v>12000</v>
      </c>
      <c r="D6" s="79">
        <f>SUM(C47:INDEX(C47:N47,IndexMonth))</f>
        <v>0</v>
      </c>
      <c r="E6" s="48">
        <v>0</v>
      </c>
      <c r="F6" s="80">
        <f t="shared" si="0"/>
        <v>12000</v>
      </c>
      <c r="G6" s="81">
        <f t="shared" ref="G6:G19" si="4">I6-H6</f>
        <v>0</v>
      </c>
      <c r="H6" s="79">
        <f t="shared" si="1"/>
        <v>0</v>
      </c>
      <c r="I6" s="80">
        <v>0</v>
      </c>
      <c r="J6" s="82">
        <f t="shared" ref="J6:J19" si="5">L6-K6</f>
        <v>0</v>
      </c>
      <c r="K6" s="48">
        <f t="shared" si="2"/>
        <v>0</v>
      </c>
      <c r="L6" s="79">
        <f>SUM(C27:INDEX(C27:N27,IndexMonth))</f>
        <v>0</v>
      </c>
      <c r="N6" s="48">
        <f t="shared" ref="N6:N19" si="6">E6-K6</f>
        <v>0</v>
      </c>
      <c r="P6" s="48">
        <f t="shared" si="3"/>
        <v>12000</v>
      </c>
    </row>
    <row r="7" spans="1:18" x14ac:dyDescent="0.25">
      <c r="B7" s="73" t="str">
        <v>Professional Fee / Grant &amp; Award</v>
      </c>
      <c r="C7" s="48">
        <v>6000</v>
      </c>
      <c r="D7" s="79">
        <f>SUM(C48:INDEX(C48:N48,IndexMonth))</f>
        <v>0</v>
      </c>
      <c r="E7" s="48">
        <v>1000</v>
      </c>
      <c r="F7" s="80">
        <f t="shared" si="0"/>
        <v>7000</v>
      </c>
      <c r="G7" s="81">
        <f t="shared" si="4"/>
        <v>0</v>
      </c>
      <c r="H7" s="79">
        <f t="shared" si="1"/>
        <v>0</v>
      </c>
      <c r="I7" s="80">
        <v>0</v>
      </c>
      <c r="J7" s="82">
        <f t="shared" si="5"/>
        <v>0</v>
      </c>
      <c r="K7" s="48">
        <f t="shared" si="2"/>
        <v>0</v>
      </c>
      <c r="L7" s="79">
        <f>SUM(C28:INDEX(C28:N28,IndexMonth))</f>
        <v>0</v>
      </c>
      <c r="N7" s="48">
        <f t="shared" si="6"/>
        <v>1000</v>
      </c>
      <c r="P7" s="48">
        <f t="shared" si="3"/>
        <v>6000</v>
      </c>
    </row>
    <row r="8" spans="1:18" x14ac:dyDescent="0.25">
      <c r="B8" s="73" t="str">
        <v>Supplies</v>
      </c>
      <c r="C8" s="48">
        <v>13000</v>
      </c>
      <c r="D8" s="79">
        <f>SUM(C49:INDEX(C49:N49,IndexMonth))</f>
        <v>0</v>
      </c>
      <c r="E8" s="48">
        <v>1300</v>
      </c>
      <c r="F8" s="80">
        <f t="shared" si="0"/>
        <v>14300</v>
      </c>
      <c r="G8" s="81">
        <f t="shared" si="4"/>
        <v>0</v>
      </c>
      <c r="H8" s="79">
        <f t="shared" si="1"/>
        <v>0</v>
      </c>
      <c r="I8" s="80">
        <v>0</v>
      </c>
      <c r="J8" s="82">
        <f t="shared" si="5"/>
        <v>0</v>
      </c>
      <c r="K8" s="48">
        <f t="shared" si="2"/>
        <v>0</v>
      </c>
      <c r="L8" s="79">
        <f>SUM(C29:INDEX(C29:N29,IndexMonth))</f>
        <v>0</v>
      </c>
      <c r="N8" s="48">
        <f t="shared" si="6"/>
        <v>1300</v>
      </c>
      <c r="P8" s="48">
        <f t="shared" si="3"/>
        <v>13000</v>
      </c>
    </row>
    <row r="9" spans="1:18" x14ac:dyDescent="0.25">
      <c r="B9" s="73" t="str">
        <v>Telephone</v>
      </c>
      <c r="C9" s="48">
        <v>11000</v>
      </c>
      <c r="D9" s="79">
        <f>SUM(C50:INDEX(C50:N50,IndexMonth))</f>
        <v>0</v>
      </c>
      <c r="E9" s="48">
        <v>1600</v>
      </c>
      <c r="F9" s="80">
        <f t="shared" si="0"/>
        <v>12600</v>
      </c>
      <c r="G9" s="81">
        <f t="shared" si="4"/>
        <v>0</v>
      </c>
      <c r="H9" s="79">
        <f t="shared" si="1"/>
        <v>0</v>
      </c>
      <c r="I9" s="80">
        <v>0</v>
      </c>
      <c r="J9" s="82">
        <f t="shared" si="5"/>
        <v>0</v>
      </c>
      <c r="K9" s="48">
        <f t="shared" si="2"/>
        <v>0</v>
      </c>
      <c r="L9" s="79">
        <f>SUM(C30:INDEX(C30:N30,IndexMonth))</f>
        <v>0</v>
      </c>
      <c r="N9" s="48">
        <f t="shared" si="6"/>
        <v>1600</v>
      </c>
      <c r="P9" s="48">
        <f t="shared" si="3"/>
        <v>11000</v>
      </c>
    </row>
    <row r="10" spans="1:18" x14ac:dyDescent="0.25">
      <c r="B10" s="73" t="str">
        <v>Postage &amp; Shipping</v>
      </c>
      <c r="C10" s="48">
        <v>4000</v>
      </c>
      <c r="D10" s="79">
        <f>SUM(C51:INDEX(C51:N51,IndexMonth))</f>
        <v>0</v>
      </c>
      <c r="E10" s="48">
        <v>1800</v>
      </c>
      <c r="F10" s="80">
        <f t="shared" si="0"/>
        <v>5800</v>
      </c>
      <c r="G10" s="81">
        <f t="shared" si="4"/>
        <v>0</v>
      </c>
      <c r="H10" s="79">
        <f t="shared" si="1"/>
        <v>0</v>
      </c>
      <c r="I10" s="80">
        <v>0</v>
      </c>
      <c r="J10" s="82">
        <f t="shared" si="5"/>
        <v>0</v>
      </c>
      <c r="K10" s="48">
        <f t="shared" si="2"/>
        <v>0</v>
      </c>
      <c r="L10" s="79">
        <f>SUM(C31:INDEX(C31:N31,IndexMonth))</f>
        <v>0</v>
      </c>
      <c r="N10" s="48">
        <f t="shared" si="6"/>
        <v>1800</v>
      </c>
      <c r="P10" s="48">
        <f t="shared" si="3"/>
        <v>4000</v>
      </c>
    </row>
    <row r="11" spans="1:18" x14ac:dyDescent="0.25">
      <c r="B11" s="73" t="str">
        <v>Occupancy</v>
      </c>
      <c r="C11" s="48">
        <v>15000</v>
      </c>
      <c r="D11" s="79">
        <f>SUM(C52:INDEX(C52:N52,IndexMonth))</f>
        <v>0</v>
      </c>
      <c r="E11" s="48">
        <v>0</v>
      </c>
      <c r="F11" s="80">
        <f t="shared" si="0"/>
        <v>15000</v>
      </c>
      <c r="G11" s="81">
        <f t="shared" si="4"/>
        <v>0</v>
      </c>
      <c r="H11" s="79">
        <f t="shared" si="1"/>
        <v>0</v>
      </c>
      <c r="I11" s="80">
        <v>0</v>
      </c>
      <c r="J11" s="82">
        <f t="shared" si="5"/>
        <v>0</v>
      </c>
      <c r="K11" s="48">
        <f t="shared" si="2"/>
        <v>0</v>
      </c>
      <c r="L11" s="79">
        <f>SUM(C32:INDEX(C32:N32,IndexMonth))</f>
        <v>0</v>
      </c>
      <c r="N11" s="48">
        <f t="shared" si="6"/>
        <v>0</v>
      </c>
      <c r="P11" s="48">
        <f t="shared" si="3"/>
        <v>15000</v>
      </c>
    </row>
    <row r="12" spans="1:18" x14ac:dyDescent="0.25">
      <c r="B12" s="73" t="str">
        <v>Equipment Rental &amp; Maintenance</v>
      </c>
      <c r="C12" s="48">
        <v>15000</v>
      </c>
      <c r="D12" s="79">
        <f>SUM(C53:INDEX(C53:N53,IndexMonth))</f>
        <v>0</v>
      </c>
      <c r="E12" s="48">
        <v>2200</v>
      </c>
      <c r="F12" s="80">
        <f t="shared" si="0"/>
        <v>17200</v>
      </c>
      <c r="G12" s="81">
        <f t="shared" si="4"/>
        <v>0</v>
      </c>
      <c r="H12" s="79">
        <f t="shared" si="1"/>
        <v>0</v>
      </c>
      <c r="I12" s="80">
        <v>0</v>
      </c>
      <c r="J12" s="82">
        <f t="shared" si="5"/>
        <v>0</v>
      </c>
      <c r="K12" s="48">
        <f t="shared" si="2"/>
        <v>0</v>
      </c>
      <c r="L12" s="79">
        <f>SUM(C33:INDEX(C33:N33,IndexMonth))</f>
        <v>0</v>
      </c>
      <c r="N12" s="48">
        <f t="shared" si="6"/>
        <v>2200</v>
      </c>
      <c r="P12" s="48">
        <f t="shared" si="3"/>
        <v>15000</v>
      </c>
    </row>
    <row r="13" spans="1:18" x14ac:dyDescent="0.25">
      <c r="B13" s="73" t="str">
        <v>Printing &amp; Publications</v>
      </c>
      <c r="C13" s="48">
        <v>15000</v>
      </c>
      <c r="D13" s="79">
        <f>SUM(C54:INDEX(C54:N54,IndexMonth))</f>
        <v>0</v>
      </c>
      <c r="E13" s="48">
        <v>1200</v>
      </c>
      <c r="F13" s="80">
        <f t="shared" si="0"/>
        <v>16200</v>
      </c>
      <c r="G13" s="81">
        <f t="shared" si="4"/>
        <v>0</v>
      </c>
      <c r="H13" s="79">
        <f t="shared" si="1"/>
        <v>0</v>
      </c>
      <c r="I13" s="80">
        <v>0</v>
      </c>
      <c r="J13" s="82">
        <f t="shared" si="5"/>
        <v>0</v>
      </c>
      <c r="K13" s="48">
        <f t="shared" si="2"/>
        <v>0</v>
      </c>
      <c r="L13" s="79">
        <f>SUM(C34:INDEX(C34:N34,IndexMonth))</f>
        <v>0</v>
      </c>
      <c r="N13" s="48">
        <f t="shared" si="6"/>
        <v>1200</v>
      </c>
      <c r="P13" s="48">
        <f t="shared" si="3"/>
        <v>15000</v>
      </c>
    </row>
    <row r="14" spans="1:18" x14ac:dyDescent="0.25">
      <c r="B14" s="73" t="str">
        <v>Travel / Conferences &amp; Meetings</v>
      </c>
      <c r="C14" s="48">
        <v>8000</v>
      </c>
      <c r="D14" s="79">
        <f>SUM(C55:INDEX(C55:N55,IndexMonth))</f>
        <v>0</v>
      </c>
      <c r="E14" s="48">
        <v>2100</v>
      </c>
      <c r="F14" s="80">
        <f t="shared" si="0"/>
        <v>10100</v>
      </c>
      <c r="G14" s="81">
        <f t="shared" si="4"/>
        <v>0</v>
      </c>
      <c r="H14" s="79">
        <f t="shared" si="1"/>
        <v>0</v>
      </c>
      <c r="I14" s="80">
        <v>0</v>
      </c>
      <c r="J14" s="82">
        <f t="shared" si="5"/>
        <v>0</v>
      </c>
      <c r="K14" s="48">
        <f t="shared" si="2"/>
        <v>0</v>
      </c>
      <c r="L14" s="79">
        <f>SUM(C35:INDEX(C35:N35,IndexMonth))</f>
        <v>0</v>
      </c>
      <c r="N14" s="48">
        <f t="shared" si="6"/>
        <v>2100</v>
      </c>
      <c r="P14" s="48">
        <f t="shared" si="3"/>
        <v>8000</v>
      </c>
    </row>
    <row r="15" spans="1:18" x14ac:dyDescent="0.25">
      <c r="B15" s="73" t="str">
        <v>Insurance</v>
      </c>
      <c r="C15" s="48">
        <v>8000</v>
      </c>
      <c r="D15" s="79">
        <f>SUM(C56:INDEX(C56:N56,IndexMonth))</f>
        <v>0</v>
      </c>
      <c r="E15" s="48">
        <v>0</v>
      </c>
      <c r="F15" s="80">
        <f t="shared" si="0"/>
        <v>8000</v>
      </c>
      <c r="G15" s="81">
        <f t="shared" si="4"/>
        <v>0</v>
      </c>
      <c r="H15" s="79">
        <f t="shared" si="1"/>
        <v>0</v>
      </c>
      <c r="I15" s="80">
        <v>0</v>
      </c>
      <c r="J15" s="82">
        <f t="shared" si="5"/>
        <v>0</v>
      </c>
      <c r="K15" s="48">
        <f t="shared" si="2"/>
        <v>0</v>
      </c>
      <c r="L15" s="79">
        <f>SUM(C36:INDEX(C36:N36,IndexMonth))</f>
        <v>0</v>
      </c>
      <c r="N15" s="48">
        <f t="shared" si="6"/>
        <v>0</v>
      </c>
      <c r="P15" s="48">
        <f t="shared" si="3"/>
        <v>8000</v>
      </c>
    </row>
    <row r="16" spans="1:18" x14ac:dyDescent="0.25">
      <c r="B16" s="73" t="str">
        <v>Specific Assistance to Individuals</v>
      </c>
      <c r="C16" s="48">
        <v>7000</v>
      </c>
      <c r="D16" s="79">
        <f>SUM(C57:INDEX(C57:N57,IndexMonth))</f>
        <v>0</v>
      </c>
      <c r="E16" s="48">
        <v>800</v>
      </c>
      <c r="F16" s="80">
        <f t="shared" si="0"/>
        <v>7800</v>
      </c>
      <c r="G16" s="81">
        <f t="shared" si="4"/>
        <v>0</v>
      </c>
      <c r="H16" s="79">
        <f t="shared" si="1"/>
        <v>0</v>
      </c>
      <c r="I16" s="80">
        <v>0</v>
      </c>
      <c r="J16" s="82">
        <f t="shared" si="5"/>
        <v>0</v>
      </c>
      <c r="K16" s="48">
        <f t="shared" si="2"/>
        <v>0</v>
      </c>
      <c r="L16" s="79">
        <f>SUM(C37:INDEX(C37:N37,IndexMonth))</f>
        <v>0</v>
      </c>
      <c r="N16" s="48">
        <f t="shared" si="6"/>
        <v>800</v>
      </c>
      <c r="P16" s="48">
        <f t="shared" si="3"/>
        <v>7000</v>
      </c>
    </row>
    <row r="17" spans="2:16" x14ac:dyDescent="0.25">
      <c r="B17" s="73" t="str">
        <v>Depreciation</v>
      </c>
      <c r="C17" s="48">
        <v>14000</v>
      </c>
      <c r="D17" s="79">
        <f>SUM(C58:INDEX(C58:N58,IndexMonth))</f>
        <v>0</v>
      </c>
      <c r="E17" s="48">
        <v>1600</v>
      </c>
      <c r="F17" s="80">
        <f t="shared" si="0"/>
        <v>15600</v>
      </c>
      <c r="G17" s="81">
        <f t="shared" si="4"/>
        <v>0</v>
      </c>
      <c r="H17" s="79">
        <f t="shared" si="1"/>
        <v>0</v>
      </c>
      <c r="I17" s="80">
        <v>0</v>
      </c>
      <c r="J17" s="82">
        <f t="shared" si="5"/>
        <v>0</v>
      </c>
      <c r="K17" s="48">
        <f t="shared" si="2"/>
        <v>0</v>
      </c>
      <c r="L17" s="79">
        <f>SUM(C38:INDEX(C38:N38,IndexMonth))</f>
        <v>0</v>
      </c>
      <c r="N17" s="48">
        <f t="shared" si="6"/>
        <v>1600</v>
      </c>
      <c r="P17" s="48">
        <f t="shared" si="3"/>
        <v>14000</v>
      </c>
    </row>
    <row r="18" spans="2:16" x14ac:dyDescent="0.25">
      <c r="B18" s="73" t="str">
        <v>Other Non_Personnel</v>
      </c>
      <c r="C18" s="48">
        <v>14000</v>
      </c>
      <c r="D18" s="79">
        <f>SUM(C59:INDEX(C59:N59,IndexMonth))</f>
        <v>0</v>
      </c>
      <c r="E18" s="48">
        <v>0</v>
      </c>
      <c r="F18" s="80">
        <f t="shared" si="0"/>
        <v>14000</v>
      </c>
      <c r="G18" s="81">
        <f t="shared" si="4"/>
        <v>0</v>
      </c>
      <c r="H18" s="79">
        <f t="shared" si="1"/>
        <v>0</v>
      </c>
      <c r="I18" s="80">
        <v>0</v>
      </c>
      <c r="J18" s="82">
        <f t="shared" si="5"/>
        <v>0</v>
      </c>
      <c r="K18" s="48">
        <f t="shared" si="2"/>
        <v>0</v>
      </c>
      <c r="L18" s="79">
        <f>SUM(C39:INDEX(C39:N39,IndexMonth))</f>
        <v>0</v>
      </c>
      <c r="N18" s="48">
        <f t="shared" si="6"/>
        <v>0</v>
      </c>
      <c r="P18" s="48">
        <f t="shared" si="3"/>
        <v>14000</v>
      </c>
    </row>
    <row r="19" spans="2:16" x14ac:dyDescent="0.25">
      <c r="B19" s="73" t="str">
        <v>Indirect Cost / Adm. Exp. / M&amp;G</v>
      </c>
      <c r="C19" s="50">
        <v>11000</v>
      </c>
      <c r="D19" s="83">
        <f>SUM(C60:INDEX(C60:N60,IndexMonth))</f>
        <v>0</v>
      </c>
      <c r="E19" s="50">
        <v>2500</v>
      </c>
      <c r="F19" s="84">
        <f t="shared" si="0"/>
        <v>13500</v>
      </c>
      <c r="G19" s="85">
        <f t="shared" si="4"/>
        <v>0</v>
      </c>
      <c r="H19" s="83">
        <f t="shared" si="1"/>
        <v>0</v>
      </c>
      <c r="I19" s="84">
        <v>0</v>
      </c>
      <c r="J19" s="86">
        <f t="shared" si="5"/>
        <v>0</v>
      </c>
      <c r="K19" s="50">
        <f t="shared" si="2"/>
        <v>0</v>
      </c>
      <c r="L19" s="83">
        <f>SUM(C40:INDEX(C40:N40,IndexMonth))</f>
        <v>0</v>
      </c>
      <c r="N19" s="50">
        <f t="shared" si="6"/>
        <v>2500</v>
      </c>
      <c r="P19" s="50">
        <f t="shared" si="3"/>
        <v>11000</v>
      </c>
    </row>
    <row r="20" spans="2:16" x14ac:dyDescent="0.25">
      <c r="B20" s="87" t="s">
        <v>51</v>
      </c>
      <c r="C20" s="88">
        <f t="shared" ref="C20:P20" si="7">SUM(C5:C19)</f>
        <v>153000</v>
      </c>
      <c r="D20" s="88">
        <f t="shared" si="7"/>
        <v>0</v>
      </c>
      <c r="E20" s="88">
        <f t="shared" si="7"/>
        <v>16100</v>
      </c>
      <c r="F20" s="88">
        <f t="shared" si="7"/>
        <v>169100</v>
      </c>
      <c r="G20" s="88">
        <f t="shared" si="7"/>
        <v>0</v>
      </c>
      <c r="H20" s="88">
        <f t="shared" si="7"/>
        <v>0</v>
      </c>
      <c r="I20" s="88">
        <f t="shared" si="7"/>
        <v>0</v>
      </c>
      <c r="J20" s="88">
        <f t="shared" si="7"/>
        <v>0</v>
      </c>
      <c r="K20" s="88">
        <f t="shared" si="7"/>
        <v>0</v>
      </c>
      <c r="L20" s="88">
        <f t="shared" si="7"/>
        <v>0</v>
      </c>
      <c r="N20" s="88">
        <f t="shared" si="7"/>
        <v>16100</v>
      </c>
      <c r="P20" s="88">
        <f t="shared" si="7"/>
        <v>153000</v>
      </c>
    </row>
    <row r="21" spans="2:16" x14ac:dyDescent="0.25"/>
    <row r="22" spans="2:16" x14ac:dyDescent="0.25"/>
    <row r="23" spans="2:16" x14ac:dyDescent="0.25"/>
    <row r="24" spans="2:16" ht="21" x14ac:dyDescent="0.35">
      <c r="B24" s="60" t="s">
        <v>56</v>
      </c>
      <c r="C24" s="89">
        <f t="array" ref="C24:N24">luDates</f>
        <v>43739</v>
      </c>
      <c r="D24" s="89">
        <v>43770</v>
      </c>
      <c r="E24" s="89">
        <v>43800</v>
      </c>
      <c r="F24" s="89">
        <v>43831</v>
      </c>
      <c r="G24" s="89">
        <v>43862</v>
      </c>
      <c r="H24" s="89">
        <v>43891</v>
      </c>
      <c r="I24" s="89">
        <v>43922</v>
      </c>
      <c r="J24" s="89">
        <v>43952</v>
      </c>
      <c r="K24" s="89">
        <v>43983</v>
      </c>
      <c r="L24" s="89">
        <v>44013</v>
      </c>
      <c r="M24" s="89">
        <v>44044</v>
      </c>
      <c r="N24" s="89">
        <v>44075</v>
      </c>
      <c r="O24" s="90"/>
      <c r="P24" s="89" t="s">
        <v>73</v>
      </c>
    </row>
    <row r="25" spans="2:16" ht="3.75" customHeight="1" x14ac:dyDescent="0.25"/>
    <row r="26" spans="2:16" x14ac:dyDescent="0.25">
      <c r="B26" s="73" t="str">
        <f t="array" ref="B26:B40">Categories</f>
        <v>Salaries</v>
      </c>
      <c r="C26" s="98"/>
      <c r="D26" s="99"/>
      <c r="E26" s="99"/>
      <c r="F26" s="99"/>
      <c r="G26" s="99"/>
      <c r="H26" s="99"/>
      <c r="I26" s="99"/>
      <c r="J26" s="99"/>
      <c r="K26" s="99"/>
      <c r="L26" s="99"/>
      <c r="M26" s="99"/>
      <c r="N26" s="100"/>
      <c r="O26" s="92">
        <f t="shared" ref="O26:O40" si="8">IFERROR((12*J5)/(IndexMonth*SUM(C5:D5)),0)</f>
        <v>0</v>
      </c>
      <c r="P26" s="93">
        <f>SUM(C26:INDEX(C26:N26,IndexMonth))</f>
        <v>0</v>
      </c>
    </row>
    <row r="27" spans="2:16" x14ac:dyDescent="0.25">
      <c r="B27" s="73" t="str">
        <v>Benefits &amp; Taxes</v>
      </c>
      <c r="C27" s="98"/>
      <c r="D27" s="99"/>
      <c r="E27" s="99"/>
      <c r="F27" s="99"/>
      <c r="G27" s="99"/>
      <c r="H27" s="99"/>
      <c r="I27" s="99"/>
      <c r="J27" s="99"/>
      <c r="K27" s="99"/>
      <c r="L27" s="99"/>
      <c r="M27" s="99"/>
      <c r="N27" s="100"/>
      <c r="O27" s="92">
        <f t="shared" si="8"/>
        <v>0</v>
      </c>
      <c r="P27" s="93">
        <f>SUM(C27:INDEX(C27:N27,IndexMonth))</f>
        <v>0</v>
      </c>
    </row>
    <row r="28" spans="2:16" x14ac:dyDescent="0.25">
      <c r="B28" s="73" t="str">
        <v>Professional Fee / Grant &amp; Award</v>
      </c>
      <c r="C28" s="98"/>
      <c r="D28" s="99"/>
      <c r="E28" s="99"/>
      <c r="F28" s="99"/>
      <c r="G28" s="99"/>
      <c r="H28" s="99"/>
      <c r="I28" s="99"/>
      <c r="J28" s="99"/>
      <c r="K28" s="99"/>
      <c r="L28" s="99"/>
      <c r="M28" s="99"/>
      <c r="N28" s="100"/>
      <c r="O28" s="92">
        <f t="shared" si="8"/>
        <v>0</v>
      </c>
      <c r="P28" s="93">
        <f>SUM(C28:INDEX(C28:N28,IndexMonth))</f>
        <v>0</v>
      </c>
    </row>
    <row r="29" spans="2:16" x14ac:dyDescent="0.25">
      <c r="B29" s="73" t="str">
        <v>Supplies</v>
      </c>
      <c r="C29" s="98"/>
      <c r="D29" s="99"/>
      <c r="E29" s="99"/>
      <c r="F29" s="99"/>
      <c r="G29" s="99"/>
      <c r="H29" s="99"/>
      <c r="I29" s="99"/>
      <c r="J29" s="99"/>
      <c r="K29" s="99"/>
      <c r="L29" s="99"/>
      <c r="M29" s="99"/>
      <c r="N29" s="100"/>
      <c r="O29" s="92">
        <f t="shared" si="8"/>
        <v>0</v>
      </c>
      <c r="P29" s="93">
        <f>SUM(C29:INDEX(C29:N29,IndexMonth))</f>
        <v>0</v>
      </c>
    </row>
    <row r="30" spans="2:16" x14ac:dyDescent="0.25">
      <c r="B30" s="73" t="str">
        <v>Telephone</v>
      </c>
      <c r="C30" s="98"/>
      <c r="D30" s="99"/>
      <c r="E30" s="99"/>
      <c r="F30" s="99"/>
      <c r="G30" s="99"/>
      <c r="H30" s="99"/>
      <c r="I30" s="99"/>
      <c r="J30" s="99"/>
      <c r="K30" s="99"/>
      <c r="L30" s="99"/>
      <c r="M30" s="99"/>
      <c r="N30" s="100"/>
      <c r="O30" s="92">
        <f t="shared" si="8"/>
        <v>0</v>
      </c>
      <c r="P30" s="93">
        <f>SUM(C30:INDEX(C30:N30,IndexMonth))</f>
        <v>0</v>
      </c>
    </row>
    <row r="31" spans="2:16" x14ac:dyDescent="0.25">
      <c r="B31" s="73" t="str">
        <v>Postage &amp; Shipping</v>
      </c>
      <c r="C31" s="98"/>
      <c r="D31" s="99"/>
      <c r="E31" s="99"/>
      <c r="F31" s="99"/>
      <c r="G31" s="99"/>
      <c r="H31" s="99"/>
      <c r="I31" s="99"/>
      <c r="J31" s="99"/>
      <c r="K31" s="99"/>
      <c r="L31" s="99"/>
      <c r="M31" s="99"/>
      <c r="N31" s="100"/>
      <c r="O31" s="92">
        <f t="shared" si="8"/>
        <v>0</v>
      </c>
      <c r="P31" s="93">
        <f>SUM(C31:INDEX(C31:N31,IndexMonth))</f>
        <v>0</v>
      </c>
    </row>
    <row r="32" spans="2:16" x14ac:dyDescent="0.25">
      <c r="B32" s="73" t="str">
        <v>Occupancy</v>
      </c>
      <c r="C32" s="98"/>
      <c r="D32" s="99"/>
      <c r="E32" s="99"/>
      <c r="F32" s="99"/>
      <c r="G32" s="99"/>
      <c r="H32" s="99"/>
      <c r="I32" s="99"/>
      <c r="J32" s="99"/>
      <c r="K32" s="99"/>
      <c r="L32" s="99"/>
      <c r="M32" s="99"/>
      <c r="N32" s="100"/>
      <c r="O32" s="92">
        <f t="shared" si="8"/>
        <v>0</v>
      </c>
      <c r="P32" s="93">
        <f>SUM(C32:INDEX(C32:N32,IndexMonth))</f>
        <v>0</v>
      </c>
    </row>
    <row r="33" spans="2:16" x14ac:dyDescent="0.25">
      <c r="B33" s="73" t="str">
        <v>Equipment Rental &amp; Maintenance</v>
      </c>
      <c r="C33" s="98"/>
      <c r="D33" s="99"/>
      <c r="E33" s="99"/>
      <c r="F33" s="99"/>
      <c r="G33" s="99"/>
      <c r="H33" s="99"/>
      <c r="I33" s="99"/>
      <c r="J33" s="99"/>
      <c r="K33" s="99"/>
      <c r="L33" s="99"/>
      <c r="M33" s="99"/>
      <c r="N33" s="100"/>
      <c r="O33" s="92">
        <f t="shared" si="8"/>
        <v>0</v>
      </c>
      <c r="P33" s="93">
        <f>SUM(C33:INDEX(C33:N33,IndexMonth))</f>
        <v>0</v>
      </c>
    </row>
    <row r="34" spans="2:16" x14ac:dyDescent="0.25">
      <c r="B34" s="73" t="str">
        <v>Printing &amp; Publications</v>
      </c>
      <c r="C34" s="98"/>
      <c r="D34" s="99"/>
      <c r="E34" s="99"/>
      <c r="F34" s="99"/>
      <c r="G34" s="99"/>
      <c r="H34" s="99"/>
      <c r="I34" s="99"/>
      <c r="J34" s="99"/>
      <c r="K34" s="99"/>
      <c r="L34" s="99"/>
      <c r="M34" s="99"/>
      <c r="N34" s="100"/>
      <c r="O34" s="92">
        <f t="shared" si="8"/>
        <v>0</v>
      </c>
      <c r="P34" s="93">
        <f>SUM(C34:INDEX(C34:N34,IndexMonth))</f>
        <v>0</v>
      </c>
    </row>
    <row r="35" spans="2:16" x14ac:dyDescent="0.25">
      <c r="B35" s="73" t="str">
        <v>Travel / Conferences &amp; Meetings</v>
      </c>
      <c r="C35" s="98"/>
      <c r="D35" s="99"/>
      <c r="E35" s="99"/>
      <c r="F35" s="99"/>
      <c r="G35" s="99"/>
      <c r="H35" s="99"/>
      <c r="I35" s="99"/>
      <c r="J35" s="99"/>
      <c r="K35" s="99"/>
      <c r="L35" s="99"/>
      <c r="M35" s="99"/>
      <c r="N35" s="100"/>
      <c r="O35" s="92">
        <f t="shared" si="8"/>
        <v>0</v>
      </c>
      <c r="P35" s="93">
        <f>SUM(C35:INDEX(C35:N35,IndexMonth))</f>
        <v>0</v>
      </c>
    </row>
    <row r="36" spans="2:16" x14ac:dyDescent="0.25">
      <c r="B36" s="73" t="str">
        <v>Insurance</v>
      </c>
      <c r="C36" s="98"/>
      <c r="D36" s="99"/>
      <c r="E36" s="99"/>
      <c r="F36" s="99"/>
      <c r="G36" s="99"/>
      <c r="H36" s="99"/>
      <c r="I36" s="99"/>
      <c r="J36" s="99"/>
      <c r="K36" s="99"/>
      <c r="L36" s="99"/>
      <c r="M36" s="99"/>
      <c r="N36" s="100"/>
      <c r="O36" s="92">
        <f t="shared" si="8"/>
        <v>0</v>
      </c>
      <c r="P36" s="93">
        <f>SUM(C36:INDEX(C36:N36,IndexMonth))</f>
        <v>0</v>
      </c>
    </row>
    <row r="37" spans="2:16" x14ac:dyDescent="0.25">
      <c r="B37" s="73" t="str">
        <v>Specific Assistance to Individuals</v>
      </c>
      <c r="C37" s="98"/>
      <c r="D37" s="99"/>
      <c r="E37" s="99"/>
      <c r="F37" s="99"/>
      <c r="G37" s="99"/>
      <c r="H37" s="99"/>
      <c r="I37" s="99"/>
      <c r="J37" s="99"/>
      <c r="K37" s="99"/>
      <c r="L37" s="99"/>
      <c r="M37" s="99"/>
      <c r="N37" s="100"/>
      <c r="O37" s="92">
        <f t="shared" si="8"/>
        <v>0</v>
      </c>
      <c r="P37" s="93">
        <f>SUM(C37:INDEX(C37:N37,IndexMonth))</f>
        <v>0</v>
      </c>
    </row>
    <row r="38" spans="2:16" x14ac:dyDescent="0.25">
      <c r="B38" s="73" t="str">
        <v>Depreciation</v>
      </c>
      <c r="C38" s="98"/>
      <c r="D38" s="99"/>
      <c r="E38" s="99"/>
      <c r="F38" s="99"/>
      <c r="G38" s="99"/>
      <c r="H38" s="99"/>
      <c r="I38" s="99"/>
      <c r="J38" s="99"/>
      <c r="K38" s="99"/>
      <c r="L38" s="99"/>
      <c r="M38" s="99"/>
      <c r="N38" s="100"/>
      <c r="O38" s="92">
        <f t="shared" si="8"/>
        <v>0</v>
      </c>
      <c r="P38" s="93">
        <f>SUM(C38:INDEX(C38:N38,IndexMonth))</f>
        <v>0</v>
      </c>
    </row>
    <row r="39" spans="2:16" x14ac:dyDescent="0.25">
      <c r="B39" s="73" t="str">
        <v>Other Non_Personnel</v>
      </c>
      <c r="C39" s="98"/>
      <c r="D39" s="99"/>
      <c r="E39" s="99"/>
      <c r="F39" s="99"/>
      <c r="G39" s="99"/>
      <c r="H39" s="99"/>
      <c r="I39" s="99"/>
      <c r="J39" s="99"/>
      <c r="K39" s="99"/>
      <c r="L39" s="99"/>
      <c r="M39" s="99"/>
      <c r="N39" s="100"/>
      <c r="O39" s="92">
        <f t="shared" si="8"/>
        <v>0</v>
      </c>
      <c r="P39" s="93">
        <f>SUM(C39:INDEX(C39:N39,IndexMonth))</f>
        <v>0</v>
      </c>
    </row>
    <row r="40" spans="2:16" x14ac:dyDescent="0.25">
      <c r="B40" s="73" t="str">
        <v>Indirect Cost / Adm. Exp. / M&amp;G</v>
      </c>
      <c r="C40" s="98"/>
      <c r="D40" s="99"/>
      <c r="E40" s="99"/>
      <c r="F40" s="99"/>
      <c r="G40" s="99"/>
      <c r="H40" s="99"/>
      <c r="I40" s="99"/>
      <c r="J40" s="99"/>
      <c r="K40" s="99"/>
      <c r="L40" s="99"/>
      <c r="M40" s="99"/>
      <c r="N40" s="100"/>
      <c r="O40" s="92">
        <f t="shared" si="8"/>
        <v>0</v>
      </c>
      <c r="P40" s="93">
        <f>SUM(C40:INDEX(C40:N40,IndexMonth))</f>
        <v>0</v>
      </c>
    </row>
    <row r="41" spans="2:16" x14ac:dyDescent="0.25">
      <c r="B41" s="87" t="s">
        <v>51</v>
      </c>
      <c r="C41" s="94">
        <f>SUM(C26:C40)</f>
        <v>0</v>
      </c>
      <c r="D41" s="94">
        <f t="shared" ref="D41:P41" si="9">SUM(D26:D40)</f>
        <v>0</v>
      </c>
      <c r="E41" s="94">
        <f t="shared" si="9"/>
        <v>0</v>
      </c>
      <c r="F41" s="94">
        <f t="shared" si="9"/>
        <v>0</v>
      </c>
      <c r="G41" s="94">
        <f t="shared" si="9"/>
        <v>0</v>
      </c>
      <c r="H41" s="94">
        <f t="shared" si="9"/>
        <v>0</v>
      </c>
      <c r="I41" s="94">
        <f t="shared" si="9"/>
        <v>0</v>
      </c>
      <c r="J41" s="94">
        <f t="shared" si="9"/>
        <v>0</v>
      </c>
      <c r="K41" s="94">
        <f t="shared" si="9"/>
        <v>0</v>
      </c>
      <c r="L41" s="94">
        <f t="shared" si="9"/>
        <v>0</v>
      </c>
      <c r="M41" s="94">
        <f t="shared" si="9"/>
        <v>0</v>
      </c>
      <c r="N41" s="94">
        <f t="shared" si="9"/>
        <v>0</v>
      </c>
      <c r="O41" s="90"/>
      <c r="P41" s="94">
        <f t="shared" si="9"/>
        <v>0</v>
      </c>
    </row>
    <row r="42" spans="2:16" x14ac:dyDescent="0.25">
      <c r="C42" s="213" t="str">
        <f>IF(M43,"&gt;&gt; Current trend of expenditures may exceed the allocated budget in certain categories. &lt;&lt;","")</f>
        <v/>
      </c>
      <c r="D42" s="214"/>
      <c r="E42" s="214"/>
      <c r="F42" s="214"/>
      <c r="G42" s="214"/>
      <c r="H42" s="214"/>
      <c r="I42" s="214"/>
      <c r="J42" s="214"/>
      <c r="K42" s="214"/>
      <c r="L42" s="214"/>
      <c r="M42" s="95">
        <f>M43*2</f>
        <v>0</v>
      </c>
      <c r="N42" s="96" t="str">
        <f>IF(M43, "may exceed 100% of budget","")</f>
        <v/>
      </c>
    </row>
    <row r="43" spans="2:16" x14ac:dyDescent="0.25">
      <c r="C43" s="214"/>
      <c r="D43" s="214"/>
      <c r="E43" s="214"/>
      <c r="F43" s="214"/>
      <c r="G43" s="214"/>
      <c r="H43" s="214"/>
      <c r="I43" s="214"/>
      <c r="J43" s="214"/>
      <c r="K43" s="214"/>
      <c r="L43" s="214"/>
      <c r="M43" s="95">
        <f>COUNTIF(O26:O40,"&gt;1")</f>
        <v>0</v>
      </c>
      <c r="N43" s="96" t="str">
        <f>IF(M43,"may exceed 110% of budget","")</f>
        <v/>
      </c>
    </row>
    <row r="44" spans="2:16" ht="21" x14ac:dyDescent="0.35">
      <c r="B44" s="60" t="s">
        <v>70</v>
      </c>
      <c r="C44" s="89">
        <f t="array" ref="C44:N44">luDates</f>
        <v>43739</v>
      </c>
      <c r="D44" s="89">
        <v>43770</v>
      </c>
      <c r="E44" s="89">
        <v>43800</v>
      </c>
      <c r="F44" s="89">
        <v>43831</v>
      </c>
      <c r="G44" s="89">
        <v>43862</v>
      </c>
      <c r="H44" s="89">
        <v>43891</v>
      </c>
      <c r="I44" s="89">
        <v>43922</v>
      </c>
      <c r="J44" s="89">
        <v>43952</v>
      </c>
      <c r="K44" s="89">
        <v>43983</v>
      </c>
      <c r="L44" s="89">
        <v>44013</v>
      </c>
      <c r="M44" s="89">
        <v>44044</v>
      </c>
      <c r="N44" s="89">
        <v>44075</v>
      </c>
      <c r="O44" s="90"/>
      <c r="P44" s="89" t="s">
        <v>51</v>
      </c>
    </row>
    <row r="45" spans="2:16" ht="3.75" customHeight="1" x14ac:dyDescent="0.25"/>
    <row r="46" spans="2:16" x14ac:dyDescent="0.25">
      <c r="B46" s="73" t="str">
        <f t="array" ref="B46:B60">Categories</f>
        <v>Salaries</v>
      </c>
      <c r="C46" s="98"/>
      <c r="D46" s="99"/>
      <c r="E46" s="99"/>
      <c r="F46" s="99"/>
      <c r="G46" s="99"/>
      <c r="H46" s="99"/>
      <c r="I46" s="99"/>
      <c r="J46" s="99"/>
      <c r="K46" s="99"/>
      <c r="L46" s="99"/>
      <c r="M46" s="99"/>
      <c r="N46" s="100"/>
      <c r="O46" s="73"/>
      <c r="P46" s="93">
        <f>SUM(C46:INDEX(C46:N46,IndexMonth))</f>
        <v>0</v>
      </c>
    </row>
    <row r="47" spans="2:16" x14ac:dyDescent="0.25">
      <c r="B47" s="73" t="str">
        <v>Benefits &amp; Taxes</v>
      </c>
      <c r="C47" s="98"/>
      <c r="D47" s="99"/>
      <c r="E47" s="99"/>
      <c r="F47" s="99"/>
      <c r="G47" s="99"/>
      <c r="H47" s="99"/>
      <c r="I47" s="99"/>
      <c r="J47" s="99"/>
      <c r="K47" s="99"/>
      <c r="L47" s="99"/>
      <c r="M47" s="99"/>
      <c r="N47" s="100"/>
      <c r="O47" s="73"/>
      <c r="P47" s="93">
        <f>SUM(C47:INDEX(C47:N47,IndexMonth))</f>
        <v>0</v>
      </c>
    </row>
    <row r="48" spans="2:16" x14ac:dyDescent="0.25">
      <c r="B48" s="73" t="str">
        <v>Professional Fee / Grant &amp; Award</v>
      </c>
      <c r="C48" s="98"/>
      <c r="D48" s="99"/>
      <c r="E48" s="99"/>
      <c r="F48" s="99"/>
      <c r="G48" s="99"/>
      <c r="H48" s="99"/>
      <c r="I48" s="99"/>
      <c r="J48" s="99"/>
      <c r="K48" s="99"/>
      <c r="L48" s="99"/>
      <c r="M48" s="99"/>
      <c r="N48" s="100"/>
      <c r="O48" s="73"/>
      <c r="P48" s="93">
        <f>SUM(C48:INDEX(C48:N48,IndexMonth))</f>
        <v>0</v>
      </c>
    </row>
    <row r="49" spans="2:16" x14ac:dyDescent="0.25">
      <c r="B49" s="73" t="str">
        <v>Supplies</v>
      </c>
      <c r="C49" s="98"/>
      <c r="D49" s="99"/>
      <c r="E49" s="99"/>
      <c r="F49" s="99"/>
      <c r="G49" s="99"/>
      <c r="H49" s="99"/>
      <c r="I49" s="99"/>
      <c r="J49" s="99"/>
      <c r="K49" s="99"/>
      <c r="L49" s="99"/>
      <c r="M49" s="99"/>
      <c r="N49" s="100"/>
      <c r="O49" s="73"/>
      <c r="P49" s="93">
        <f>SUM(C49:INDEX(C49:N49,IndexMonth))</f>
        <v>0</v>
      </c>
    </row>
    <row r="50" spans="2:16" x14ac:dyDescent="0.25">
      <c r="B50" s="73" t="str">
        <v>Telephone</v>
      </c>
      <c r="C50" s="98"/>
      <c r="D50" s="99"/>
      <c r="E50" s="99"/>
      <c r="F50" s="99"/>
      <c r="G50" s="99"/>
      <c r="H50" s="99"/>
      <c r="I50" s="99"/>
      <c r="J50" s="99"/>
      <c r="K50" s="99"/>
      <c r="L50" s="99"/>
      <c r="M50" s="99"/>
      <c r="N50" s="100"/>
      <c r="O50" s="73"/>
      <c r="P50" s="93">
        <f>SUM(C50:INDEX(C50:N50,IndexMonth))</f>
        <v>0</v>
      </c>
    </row>
    <row r="51" spans="2:16" x14ac:dyDescent="0.25">
      <c r="B51" s="73" t="str">
        <v>Postage &amp; Shipping</v>
      </c>
      <c r="C51" s="98"/>
      <c r="D51" s="99"/>
      <c r="E51" s="99"/>
      <c r="F51" s="99"/>
      <c r="G51" s="99"/>
      <c r="H51" s="99"/>
      <c r="I51" s="99"/>
      <c r="J51" s="99"/>
      <c r="K51" s="99"/>
      <c r="L51" s="99"/>
      <c r="M51" s="99"/>
      <c r="N51" s="100"/>
      <c r="O51" s="73"/>
      <c r="P51" s="93">
        <f>SUM(C51:INDEX(C51:N51,IndexMonth))</f>
        <v>0</v>
      </c>
    </row>
    <row r="52" spans="2:16" x14ac:dyDescent="0.25">
      <c r="B52" s="73" t="str">
        <v>Occupancy</v>
      </c>
      <c r="C52" s="98"/>
      <c r="D52" s="99"/>
      <c r="E52" s="99"/>
      <c r="F52" s="99"/>
      <c r="G52" s="99"/>
      <c r="H52" s="99"/>
      <c r="I52" s="99"/>
      <c r="J52" s="99"/>
      <c r="K52" s="99"/>
      <c r="L52" s="99"/>
      <c r="M52" s="99"/>
      <c r="N52" s="100"/>
      <c r="O52" s="73"/>
      <c r="P52" s="93">
        <f>SUM(C52:INDEX(C52:N52,IndexMonth))</f>
        <v>0</v>
      </c>
    </row>
    <row r="53" spans="2:16" x14ac:dyDescent="0.25">
      <c r="B53" s="73" t="str">
        <v>Equipment Rental &amp; Maintenance</v>
      </c>
      <c r="C53" s="98"/>
      <c r="D53" s="99"/>
      <c r="E53" s="99"/>
      <c r="F53" s="99"/>
      <c r="G53" s="99"/>
      <c r="H53" s="99"/>
      <c r="I53" s="99"/>
      <c r="J53" s="99"/>
      <c r="K53" s="99"/>
      <c r="L53" s="99"/>
      <c r="M53" s="99"/>
      <c r="N53" s="100"/>
      <c r="O53" s="73"/>
      <c r="P53" s="93">
        <f>SUM(C53:INDEX(C53:N53,IndexMonth))</f>
        <v>0</v>
      </c>
    </row>
    <row r="54" spans="2:16" x14ac:dyDescent="0.25">
      <c r="B54" s="73" t="str">
        <v>Printing &amp; Publications</v>
      </c>
      <c r="C54" s="98"/>
      <c r="D54" s="99"/>
      <c r="E54" s="99"/>
      <c r="F54" s="99"/>
      <c r="G54" s="99"/>
      <c r="H54" s="99"/>
      <c r="I54" s="99"/>
      <c r="J54" s="99"/>
      <c r="K54" s="99"/>
      <c r="L54" s="99"/>
      <c r="M54" s="99"/>
      <c r="N54" s="100"/>
      <c r="O54" s="73"/>
      <c r="P54" s="93">
        <f>SUM(C54:INDEX(C54:N54,IndexMonth))</f>
        <v>0</v>
      </c>
    </row>
    <row r="55" spans="2:16" x14ac:dyDescent="0.25">
      <c r="B55" s="73" t="str">
        <v>Travel / Conferences &amp; Meetings</v>
      </c>
      <c r="C55" s="98"/>
      <c r="D55" s="99"/>
      <c r="E55" s="99"/>
      <c r="F55" s="99"/>
      <c r="G55" s="99"/>
      <c r="H55" s="99"/>
      <c r="I55" s="99"/>
      <c r="J55" s="99"/>
      <c r="K55" s="99"/>
      <c r="L55" s="99"/>
      <c r="M55" s="99"/>
      <c r="N55" s="100"/>
      <c r="O55" s="73"/>
      <c r="P55" s="93">
        <f>SUM(C55:INDEX(C55:N55,IndexMonth))</f>
        <v>0</v>
      </c>
    </row>
    <row r="56" spans="2:16" x14ac:dyDescent="0.25">
      <c r="B56" s="73" t="str">
        <v>Insurance</v>
      </c>
      <c r="C56" s="98"/>
      <c r="D56" s="99"/>
      <c r="E56" s="99"/>
      <c r="F56" s="99"/>
      <c r="G56" s="99"/>
      <c r="H56" s="99"/>
      <c r="I56" s="99"/>
      <c r="J56" s="99"/>
      <c r="K56" s="99"/>
      <c r="L56" s="99"/>
      <c r="M56" s="99"/>
      <c r="N56" s="100"/>
      <c r="O56" s="73"/>
      <c r="P56" s="93">
        <f>SUM(C56:INDEX(C56:N56,IndexMonth))</f>
        <v>0</v>
      </c>
    </row>
    <row r="57" spans="2:16" x14ac:dyDescent="0.25">
      <c r="B57" s="73" t="str">
        <v>Specific Assistance to Individuals</v>
      </c>
      <c r="C57" s="98"/>
      <c r="D57" s="99"/>
      <c r="E57" s="99"/>
      <c r="F57" s="99"/>
      <c r="G57" s="99"/>
      <c r="H57" s="99"/>
      <c r="I57" s="99"/>
      <c r="J57" s="99"/>
      <c r="K57" s="99"/>
      <c r="L57" s="99"/>
      <c r="M57" s="99"/>
      <c r="N57" s="100"/>
      <c r="O57" s="73"/>
      <c r="P57" s="93">
        <f>SUM(C57:INDEX(C57:N57,IndexMonth))</f>
        <v>0</v>
      </c>
    </row>
    <row r="58" spans="2:16" x14ac:dyDescent="0.25">
      <c r="B58" s="73" t="str">
        <v>Depreciation</v>
      </c>
      <c r="C58" s="98"/>
      <c r="D58" s="99"/>
      <c r="E58" s="99"/>
      <c r="F58" s="99"/>
      <c r="G58" s="99"/>
      <c r="H58" s="99"/>
      <c r="I58" s="99"/>
      <c r="J58" s="99"/>
      <c r="K58" s="99"/>
      <c r="L58" s="99"/>
      <c r="M58" s="99"/>
      <c r="N58" s="100"/>
      <c r="O58" s="73"/>
      <c r="P58" s="93">
        <f>SUM(C58:INDEX(C58:N58,IndexMonth))</f>
        <v>0</v>
      </c>
    </row>
    <row r="59" spans="2:16" x14ac:dyDescent="0.25">
      <c r="B59" s="73" t="str">
        <v>Other Non_Personnel</v>
      </c>
      <c r="C59" s="98"/>
      <c r="D59" s="99"/>
      <c r="E59" s="99"/>
      <c r="F59" s="99"/>
      <c r="G59" s="99"/>
      <c r="H59" s="99"/>
      <c r="I59" s="99"/>
      <c r="J59" s="99"/>
      <c r="K59" s="99"/>
      <c r="L59" s="99"/>
      <c r="M59" s="99"/>
      <c r="N59" s="100"/>
      <c r="O59" s="73"/>
      <c r="P59" s="93">
        <f>SUM(C59:INDEX(C59:N59,IndexMonth))</f>
        <v>0</v>
      </c>
    </row>
    <row r="60" spans="2:16" x14ac:dyDescent="0.25">
      <c r="B60" s="73" t="str">
        <v>Indirect Cost / Adm. Exp. / M&amp;G</v>
      </c>
      <c r="C60" s="98"/>
      <c r="D60" s="99"/>
      <c r="E60" s="99"/>
      <c r="F60" s="99"/>
      <c r="G60" s="99"/>
      <c r="H60" s="99"/>
      <c r="I60" s="99"/>
      <c r="J60" s="99"/>
      <c r="K60" s="99"/>
      <c r="L60" s="99"/>
      <c r="M60" s="99"/>
      <c r="N60" s="100"/>
      <c r="O60" s="73"/>
      <c r="P60" s="93">
        <f>SUM(C60:INDEX(C60:N60,IndexMonth))</f>
        <v>0</v>
      </c>
    </row>
    <row r="61" spans="2:16" x14ac:dyDescent="0.25">
      <c r="B61" s="97" t="s">
        <v>51</v>
      </c>
      <c r="C61" s="94">
        <f t="shared" ref="C61:N61" si="10">SUM(C46:C60)</f>
        <v>0</v>
      </c>
      <c r="D61" s="94">
        <f t="shared" si="10"/>
        <v>0</v>
      </c>
      <c r="E61" s="94">
        <f t="shared" si="10"/>
        <v>0</v>
      </c>
      <c r="F61" s="94">
        <f t="shared" si="10"/>
        <v>0</v>
      </c>
      <c r="G61" s="94">
        <f t="shared" si="10"/>
        <v>0</v>
      </c>
      <c r="H61" s="94">
        <f t="shared" si="10"/>
        <v>0</v>
      </c>
      <c r="I61" s="94">
        <f t="shared" si="10"/>
        <v>0</v>
      </c>
      <c r="J61" s="94">
        <f t="shared" si="10"/>
        <v>0</v>
      </c>
      <c r="K61" s="94">
        <f t="shared" si="10"/>
        <v>0</v>
      </c>
      <c r="L61" s="94">
        <f t="shared" si="10"/>
        <v>0</v>
      </c>
      <c r="M61" s="94">
        <f t="shared" si="10"/>
        <v>0</v>
      </c>
      <c r="N61" s="94">
        <f t="shared" si="10"/>
        <v>0</v>
      </c>
      <c r="O61" s="90"/>
      <c r="P61" s="94">
        <f t="shared" ref="P61" si="11">SUM(P46:P60)</f>
        <v>0</v>
      </c>
    </row>
    <row r="62" spans="2:16" x14ac:dyDescent="0.25"/>
    <row r="63" spans="2:16" x14ac:dyDescent="0.25"/>
    <row r="64" spans="2:16" ht="21" x14ac:dyDescent="0.35">
      <c r="B64" s="60" t="str">
        <f>"Justification for "&amp;INDEX(luMonths,IndexMonth)&amp;" Budget Modification"</f>
        <v>Justification for October Budget Modification</v>
      </c>
    </row>
    <row r="65" spans="2:16" ht="3.75" customHeight="1" x14ac:dyDescent="0.35">
      <c r="B65" s="60"/>
    </row>
    <row r="66" spans="2:16" x14ac:dyDescent="0.25">
      <c r="B66" s="73" t="str">
        <f t="array" ref="B66:B80">Categories</f>
        <v>Salaries</v>
      </c>
      <c r="C66" s="218"/>
      <c r="D66" s="219"/>
      <c r="E66" s="219"/>
      <c r="F66" s="219"/>
      <c r="G66" s="219"/>
      <c r="H66" s="219"/>
      <c r="I66" s="219"/>
      <c r="J66" s="219"/>
      <c r="K66" s="219"/>
      <c r="L66" s="219"/>
      <c r="M66" s="219"/>
      <c r="N66" s="219"/>
      <c r="O66" s="219"/>
      <c r="P66" s="220"/>
    </row>
    <row r="67" spans="2:16" x14ac:dyDescent="0.25">
      <c r="B67" s="73" t="str">
        <v>Benefits &amp; Taxes</v>
      </c>
      <c r="C67" s="218"/>
      <c r="D67" s="219"/>
      <c r="E67" s="219"/>
      <c r="F67" s="219"/>
      <c r="G67" s="219"/>
      <c r="H67" s="219"/>
      <c r="I67" s="219"/>
      <c r="J67" s="219"/>
      <c r="K67" s="219"/>
      <c r="L67" s="219"/>
      <c r="M67" s="219"/>
      <c r="N67" s="219"/>
      <c r="O67" s="219"/>
      <c r="P67" s="220"/>
    </row>
    <row r="68" spans="2:16" x14ac:dyDescent="0.25">
      <c r="B68" s="73" t="str">
        <v>Professional Fee / Grant &amp; Award</v>
      </c>
      <c r="C68" s="218"/>
      <c r="D68" s="219"/>
      <c r="E68" s="219"/>
      <c r="F68" s="219"/>
      <c r="G68" s="219"/>
      <c r="H68" s="219"/>
      <c r="I68" s="219"/>
      <c r="J68" s="219"/>
      <c r="K68" s="219"/>
      <c r="L68" s="219"/>
      <c r="M68" s="219"/>
      <c r="N68" s="219"/>
      <c r="O68" s="219"/>
      <c r="P68" s="220"/>
    </row>
    <row r="69" spans="2:16" x14ac:dyDescent="0.25">
      <c r="B69" s="73" t="str">
        <v>Supplies</v>
      </c>
      <c r="C69" s="218"/>
      <c r="D69" s="219"/>
      <c r="E69" s="219"/>
      <c r="F69" s="219"/>
      <c r="G69" s="219"/>
      <c r="H69" s="219"/>
      <c r="I69" s="219"/>
      <c r="J69" s="219"/>
      <c r="K69" s="219"/>
      <c r="L69" s="219"/>
      <c r="M69" s="219"/>
      <c r="N69" s="219"/>
      <c r="O69" s="219"/>
      <c r="P69" s="220"/>
    </row>
    <row r="70" spans="2:16" x14ac:dyDescent="0.25">
      <c r="B70" s="73" t="str">
        <v>Telephone</v>
      </c>
      <c r="C70" s="218"/>
      <c r="D70" s="219"/>
      <c r="E70" s="219"/>
      <c r="F70" s="219"/>
      <c r="G70" s="219"/>
      <c r="H70" s="219"/>
      <c r="I70" s="219"/>
      <c r="J70" s="219"/>
      <c r="K70" s="219"/>
      <c r="L70" s="219"/>
      <c r="M70" s="219"/>
      <c r="N70" s="219"/>
      <c r="O70" s="219"/>
      <c r="P70" s="220"/>
    </row>
    <row r="71" spans="2:16" x14ac:dyDescent="0.25">
      <c r="B71" s="73" t="str">
        <v>Postage &amp; Shipping</v>
      </c>
      <c r="C71" s="218"/>
      <c r="D71" s="219"/>
      <c r="E71" s="219"/>
      <c r="F71" s="219"/>
      <c r="G71" s="219"/>
      <c r="H71" s="219"/>
      <c r="I71" s="219"/>
      <c r="J71" s="219"/>
      <c r="K71" s="219"/>
      <c r="L71" s="219"/>
      <c r="M71" s="219"/>
      <c r="N71" s="219"/>
      <c r="O71" s="219"/>
      <c r="P71" s="220"/>
    </row>
    <row r="72" spans="2:16" x14ac:dyDescent="0.25">
      <c r="B72" s="73" t="str">
        <v>Occupancy</v>
      </c>
      <c r="C72" s="218"/>
      <c r="D72" s="219"/>
      <c r="E72" s="219"/>
      <c r="F72" s="219"/>
      <c r="G72" s="219"/>
      <c r="H72" s="219"/>
      <c r="I72" s="219"/>
      <c r="J72" s="219"/>
      <c r="K72" s="219"/>
      <c r="L72" s="219"/>
      <c r="M72" s="219"/>
      <c r="N72" s="219"/>
      <c r="O72" s="219"/>
      <c r="P72" s="220"/>
    </row>
    <row r="73" spans="2:16" x14ac:dyDescent="0.25">
      <c r="B73" s="73" t="str">
        <v>Equipment Rental &amp; Maintenance</v>
      </c>
      <c r="C73" s="218"/>
      <c r="D73" s="219"/>
      <c r="E73" s="219"/>
      <c r="F73" s="219"/>
      <c r="G73" s="219"/>
      <c r="H73" s="219"/>
      <c r="I73" s="219"/>
      <c r="J73" s="219"/>
      <c r="K73" s="219"/>
      <c r="L73" s="219"/>
      <c r="M73" s="219"/>
      <c r="N73" s="219"/>
      <c r="O73" s="219"/>
      <c r="P73" s="220"/>
    </row>
    <row r="74" spans="2:16" x14ac:dyDescent="0.25">
      <c r="B74" s="73" t="str">
        <v>Printing &amp; Publications</v>
      </c>
      <c r="C74" s="218"/>
      <c r="D74" s="219"/>
      <c r="E74" s="219"/>
      <c r="F74" s="219"/>
      <c r="G74" s="219"/>
      <c r="H74" s="219"/>
      <c r="I74" s="219"/>
      <c r="J74" s="219"/>
      <c r="K74" s="219"/>
      <c r="L74" s="219"/>
      <c r="M74" s="219"/>
      <c r="N74" s="219"/>
      <c r="O74" s="219"/>
      <c r="P74" s="220"/>
    </row>
    <row r="75" spans="2:16" x14ac:dyDescent="0.25">
      <c r="B75" s="73" t="str">
        <v>Travel / Conferences &amp; Meetings</v>
      </c>
      <c r="C75" s="218"/>
      <c r="D75" s="219"/>
      <c r="E75" s="219"/>
      <c r="F75" s="219"/>
      <c r="G75" s="219"/>
      <c r="H75" s="219"/>
      <c r="I75" s="219"/>
      <c r="J75" s="219"/>
      <c r="K75" s="219"/>
      <c r="L75" s="219"/>
      <c r="M75" s="219"/>
      <c r="N75" s="219"/>
      <c r="O75" s="219"/>
      <c r="P75" s="220"/>
    </row>
    <row r="76" spans="2:16" x14ac:dyDescent="0.25">
      <c r="B76" s="73" t="str">
        <v>Insurance</v>
      </c>
      <c r="C76" s="218"/>
      <c r="D76" s="219"/>
      <c r="E76" s="219"/>
      <c r="F76" s="219"/>
      <c r="G76" s="219"/>
      <c r="H76" s="219"/>
      <c r="I76" s="219"/>
      <c r="J76" s="219"/>
      <c r="K76" s="219"/>
      <c r="L76" s="219"/>
      <c r="M76" s="219"/>
      <c r="N76" s="219"/>
      <c r="O76" s="219"/>
      <c r="P76" s="220"/>
    </row>
    <row r="77" spans="2:16" x14ac:dyDescent="0.25">
      <c r="B77" s="73" t="str">
        <v>Specific Assistance to Individuals</v>
      </c>
      <c r="C77" s="218"/>
      <c r="D77" s="219"/>
      <c r="E77" s="219"/>
      <c r="F77" s="219"/>
      <c r="G77" s="219"/>
      <c r="H77" s="219"/>
      <c r="I77" s="219"/>
      <c r="J77" s="219"/>
      <c r="K77" s="219"/>
      <c r="L77" s="219"/>
      <c r="M77" s="219"/>
      <c r="N77" s="219"/>
      <c r="O77" s="219"/>
      <c r="P77" s="220"/>
    </row>
    <row r="78" spans="2:16" x14ac:dyDescent="0.25">
      <c r="B78" s="73" t="str">
        <v>Depreciation</v>
      </c>
      <c r="C78" s="218"/>
      <c r="D78" s="219"/>
      <c r="E78" s="219"/>
      <c r="F78" s="219"/>
      <c r="G78" s="219"/>
      <c r="H78" s="219"/>
      <c r="I78" s="219"/>
      <c r="J78" s="219"/>
      <c r="K78" s="219"/>
      <c r="L78" s="219"/>
      <c r="M78" s="219"/>
      <c r="N78" s="219"/>
      <c r="O78" s="219"/>
      <c r="P78" s="220"/>
    </row>
    <row r="79" spans="2:16" x14ac:dyDescent="0.25">
      <c r="B79" s="73" t="str">
        <v>Other Non_Personnel</v>
      </c>
      <c r="C79" s="218"/>
      <c r="D79" s="219"/>
      <c r="E79" s="219"/>
      <c r="F79" s="219"/>
      <c r="G79" s="219"/>
      <c r="H79" s="219"/>
      <c r="I79" s="219"/>
      <c r="J79" s="219"/>
      <c r="K79" s="219"/>
      <c r="L79" s="219"/>
      <c r="M79" s="219"/>
      <c r="N79" s="219"/>
      <c r="O79" s="219"/>
      <c r="P79" s="220"/>
    </row>
    <row r="80" spans="2:16" x14ac:dyDescent="0.25">
      <c r="B80" s="73" t="str">
        <v>Indirect Cost / Adm. Exp. / M&amp;G</v>
      </c>
      <c r="C80" s="218"/>
      <c r="D80" s="219"/>
      <c r="E80" s="219"/>
      <c r="F80" s="219"/>
      <c r="G80" s="219"/>
      <c r="H80" s="219"/>
      <c r="I80" s="219"/>
      <c r="J80" s="219"/>
      <c r="K80" s="219"/>
      <c r="L80" s="219"/>
      <c r="M80" s="219"/>
      <c r="N80" s="219"/>
      <c r="O80" s="219"/>
      <c r="P80" s="220"/>
    </row>
    <row r="81" x14ac:dyDescent="0.25"/>
  </sheetData>
  <sheetProtection algorithmName="SHA-512" hashValue="1JcsANiAF6ZZrjzq56tO9bdXLzlxkFh9lsWwvlKeAY3pjn5S2B5hQ9uK2wNmgRGW4JGTGSkauOncF6p5cZ0OkQ==" saltValue="1ZYbqer4n6O33rkBazWKyg==" spinCount="100000" sheet="1" objects="1" scenarios="1"/>
  <mergeCells count="16">
    <mergeCell ref="C42:L43"/>
    <mergeCell ref="C66:P66"/>
    <mergeCell ref="C67:P67"/>
    <mergeCell ref="C68:P68"/>
    <mergeCell ref="C69:P69"/>
    <mergeCell ref="C70:P70"/>
    <mergeCell ref="C71:P71"/>
    <mergeCell ref="C72:P72"/>
    <mergeCell ref="C73:P73"/>
    <mergeCell ref="C74:P74"/>
    <mergeCell ref="C80:P80"/>
    <mergeCell ref="C75:P75"/>
    <mergeCell ref="C76:P76"/>
    <mergeCell ref="C77:P77"/>
    <mergeCell ref="C78:P78"/>
    <mergeCell ref="C79:P79"/>
  </mergeCells>
  <conditionalFormatting sqref="C26:N40 C46:N60">
    <cfRule type="expression" dxfId="9" priority="4">
      <formula>C$24&gt;InvoiceMonth</formula>
    </cfRule>
    <cfRule type="expression" dxfId="8" priority="5">
      <formula>C$24&lt;InvoiceMonth</formula>
    </cfRule>
  </conditionalFormatting>
  <conditionalFormatting sqref="C26:N40">
    <cfRule type="expression" dxfId="7" priority="1" stopIfTrue="1">
      <formula>AND($F5=0,C26&lt;&gt;0)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3" id="{281C2DC3-1990-488B-86A1-857E3D23EF29}">
            <x14:iconSet showValue="0" custom="1">
              <x14:cfvo type="percent">
                <xm:f>0</xm:f>
              </x14:cfvo>
              <x14:cfvo type="num" gte="0">
                <xm:f>1</xm:f>
              </x14:cfvo>
              <x14:cfvo type="num" gte="0">
                <xm:f>1.1000000000000001</xm:f>
              </x14:cfvo>
              <x14:cfIcon iconSet="NoIcons" iconId="0"/>
              <x14:cfIcon iconSet="3Symbols2" iconId="1"/>
              <x14:cfIcon iconSet="3Symbols" iconId="1"/>
            </x14:iconSet>
          </x14:cfRule>
          <xm:sqref>O26:O40</xm:sqref>
        </x14:conditionalFormatting>
        <x14:conditionalFormatting xmlns:xm="http://schemas.microsoft.com/office/excel/2006/main">
          <x14:cfRule type="iconSet" priority="2" id="{1A406E1A-534B-4F5B-93B2-F2DA6CE94FAD}">
            <x14:iconSet showValue="0" custom="1">
              <x14:cfvo type="percent">
                <xm:f>0</xm:f>
              </x14:cfvo>
              <x14:cfvo type="num">
                <xm:f>1</xm:f>
              </x14:cfvo>
              <x14:cfvo type="num">
                <xm:f>2</xm:f>
              </x14:cfvo>
              <x14:cfIcon iconSet="NoIcons" iconId="0"/>
              <x14:cfIcon iconSet="3Symbols" iconId="1"/>
              <x14:cfIcon iconSet="3Symbols2" iconId="1"/>
            </x14:iconSet>
          </x14:cfRule>
          <xm:sqref>M42:M43</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761E9-1CCE-433C-9E78-352D1D3BA89F}">
  <sheetPr codeName="Sheet17"/>
  <dimension ref="A1:AK47"/>
  <sheetViews>
    <sheetView showGridLines="0" workbookViewId="0">
      <selection activeCell="C11" sqref="C11"/>
    </sheetView>
  </sheetViews>
  <sheetFormatPr defaultColWidth="0" defaultRowHeight="15" zeroHeight="1" x14ac:dyDescent="0.25"/>
  <cols>
    <col min="1" max="1" width="2.85546875" style="12" customWidth="1"/>
    <col min="2" max="2" width="31.42578125" style="12" bestFit="1" customWidth="1"/>
    <col min="3" max="14" width="15.28515625" style="12" customWidth="1"/>
    <col min="15" max="15" width="2.85546875" style="12" customWidth="1"/>
    <col min="16" max="16" width="15.28515625" style="12" customWidth="1"/>
    <col min="17" max="17" width="2.85546875" style="12" customWidth="1"/>
    <col min="18" max="18" width="9.140625" style="12" hidden="1" customWidth="1"/>
    <col min="19" max="19" width="31.42578125" style="12" hidden="1" customWidth="1"/>
    <col min="20" max="31" width="15.28515625" style="12" hidden="1" customWidth="1"/>
    <col min="32" max="32" width="2.85546875" style="12" hidden="1" customWidth="1"/>
    <col min="33" max="34" width="15.28515625" style="12" hidden="1" customWidth="1"/>
    <col min="35" max="35" width="2.85546875" style="12" hidden="1" customWidth="1"/>
    <col min="36" max="37" width="15.28515625" style="12" hidden="1" customWidth="1"/>
    <col min="38" max="16384" width="9.140625" style="12" hidden="1"/>
  </cols>
  <sheetData>
    <row r="1" spans="2:34" ht="23.25" x14ac:dyDescent="0.35">
      <c r="B1" s="58" t="s">
        <v>132</v>
      </c>
      <c r="C1" s="59"/>
      <c r="D1" s="59"/>
      <c r="E1" s="59"/>
      <c r="F1" s="59"/>
      <c r="G1" s="59"/>
      <c r="H1" s="59"/>
      <c r="I1" s="59"/>
      <c r="J1" s="59"/>
      <c r="K1" s="59"/>
      <c r="L1" s="59"/>
      <c r="M1" s="59"/>
      <c r="N1" s="59"/>
      <c r="O1" s="59"/>
      <c r="P1" s="59"/>
    </row>
    <row r="2" spans="2:34" x14ac:dyDescent="0.25"/>
    <row r="3" spans="2:34" ht="21" x14ac:dyDescent="0.35">
      <c r="B3" s="60" t="s">
        <v>130</v>
      </c>
      <c r="C3" s="169" t="s">
        <v>98</v>
      </c>
      <c r="D3" s="169"/>
      <c r="E3" s="169"/>
      <c r="F3" s="170" t="str">
        <f>"Monthly Expenditures - " &amp; TEXT(InvoiceMonth,"mmmm yyyy")</f>
        <v>Monthly Expenditures - October 2019</v>
      </c>
      <c r="G3" s="171"/>
      <c r="H3" s="172"/>
      <c r="I3" s="169" t="s">
        <v>100</v>
      </c>
      <c r="J3" s="169"/>
      <c r="K3" s="169"/>
      <c r="N3" s="65" t="s">
        <v>99</v>
      </c>
      <c r="P3" s="66" t="s">
        <v>71</v>
      </c>
    </row>
    <row r="4" spans="2:34" x14ac:dyDescent="0.25">
      <c r="C4" s="173" t="s">
        <v>131</v>
      </c>
      <c r="D4" s="173" t="s">
        <v>96</v>
      </c>
      <c r="E4" s="173" t="s">
        <v>51</v>
      </c>
      <c r="F4" s="174" t="s">
        <v>69</v>
      </c>
      <c r="G4" s="175" t="s">
        <v>96</v>
      </c>
      <c r="H4" s="176" t="s">
        <v>74</v>
      </c>
      <c r="I4" s="173" t="s">
        <v>69</v>
      </c>
      <c r="J4" s="173" t="s">
        <v>96</v>
      </c>
      <c r="K4" s="173" t="s">
        <v>74</v>
      </c>
      <c r="N4" s="71" t="s">
        <v>96</v>
      </c>
      <c r="P4" s="72" t="s">
        <v>96</v>
      </c>
    </row>
    <row r="5" spans="2:34" x14ac:dyDescent="0.25">
      <c r="B5" s="104" t="s">
        <v>51</v>
      </c>
      <c r="C5" s="177">
        <f>+setup!L31</f>
        <v>0</v>
      </c>
      <c r="D5" s="177">
        <f>+setup!L53</f>
        <v>0</v>
      </c>
      <c r="E5" s="178">
        <f>SUM(C5:D5)</f>
        <v>0</v>
      </c>
      <c r="F5" s="179">
        <f>H5-G5</f>
        <v>0</v>
      </c>
      <c r="G5" s="91">
        <f>MIN(H5,MAX(0,D5-K5+H5))</f>
        <v>0</v>
      </c>
      <c r="H5" s="180">
        <f>INDEX(C26:N26,IndexMonth)</f>
        <v>0</v>
      </c>
      <c r="I5" s="179">
        <f>K5-J5</f>
        <v>0</v>
      </c>
      <c r="J5" s="91">
        <f>MIN(D5,K5)</f>
        <v>0</v>
      </c>
      <c r="K5" s="168">
        <f>P26</f>
        <v>0</v>
      </c>
      <c r="N5" s="112">
        <f>D5-J5</f>
        <v>0</v>
      </c>
      <c r="P5" s="112">
        <f>MAX(0,C5-I5)</f>
        <v>0</v>
      </c>
    </row>
    <row r="6" spans="2:34" x14ac:dyDescent="0.25">
      <c r="C6" s="221" t="str">
        <f>IF(TACA_OWNER,"Information entered on this worksheet is automatically calculated as part of the ACB domain budget summary.","Use of this form reserved for TACA responsible party only.")</f>
        <v>Use of this form reserved for TACA responsible party only.</v>
      </c>
      <c r="D6" s="221"/>
      <c r="E6" s="221"/>
      <c r="F6" s="221"/>
      <c r="G6" s="221"/>
      <c r="H6" s="221"/>
      <c r="I6" s="221"/>
      <c r="J6" s="221"/>
      <c r="K6" s="221"/>
    </row>
    <row r="7" spans="2:34" x14ac:dyDescent="0.25">
      <c r="C7" s="222"/>
      <c r="D7" s="222"/>
      <c r="E7" s="222"/>
      <c r="F7" s="222"/>
      <c r="G7" s="222"/>
      <c r="H7" s="222"/>
      <c r="I7" s="222"/>
      <c r="J7" s="222"/>
      <c r="K7" s="222"/>
    </row>
    <row r="8" spans="2:34" x14ac:dyDescent="0.25">
      <c r="C8" s="222"/>
      <c r="D8" s="222"/>
      <c r="E8" s="222"/>
      <c r="F8" s="222"/>
      <c r="G8" s="222"/>
      <c r="H8" s="222"/>
      <c r="I8" s="222"/>
      <c r="J8" s="222"/>
      <c r="K8" s="222"/>
      <c r="AG8" s="59" t="s">
        <v>135</v>
      </c>
      <c r="AH8" s="59"/>
    </row>
    <row r="9" spans="2:34" ht="21" x14ac:dyDescent="0.35">
      <c r="B9" s="60" t="s">
        <v>56</v>
      </c>
      <c r="C9" s="89">
        <f t="array" ref="C9:N9">luDates</f>
        <v>43739</v>
      </c>
      <c r="D9" s="89">
        <v>43770</v>
      </c>
      <c r="E9" s="89">
        <v>43800</v>
      </c>
      <c r="F9" s="89">
        <v>43831</v>
      </c>
      <c r="G9" s="89">
        <v>43862</v>
      </c>
      <c r="H9" s="89">
        <v>43891</v>
      </c>
      <c r="I9" s="89">
        <v>43922</v>
      </c>
      <c r="J9" s="89">
        <v>43952</v>
      </c>
      <c r="K9" s="89">
        <v>43983</v>
      </c>
      <c r="L9" s="89">
        <v>44013</v>
      </c>
      <c r="M9" s="89">
        <v>44044</v>
      </c>
      <c r="N9" s="89">
        <v>44075</v>
      </c>
      <c r="O9" s="90"/>
      <c r="P9" s="89" t="s">
        <v>73</v>
      </c>
      <c r="S9" s="60" t="s">
        <v>133</v>
      </c>
      <c r="T9" s="89">
        <f t="array" ref="T9:AE9">luDates</f>
        <v>43739</v>
      </c>
      <c r="U9" s="89">
        <v>43770</v>
      </c>
      <c r="V9" s="89">
        <v>43800</v>
      </c>
      <c r="W9" s="89">
        <v>43831</v>
      </c>
      <c r="X9" s="89">
        <v>43862</v>
      </c>
      <c r="Y9" s="89">
        <v>43891</v>
      </c>
      <c r="Z9" s="89">
        <v>43922</v>
      </c>
      <c r="AA9" s="89">
        <v>43952</v>
      </c>
      <c r="AB9" s="89">
        <v>43983</v>
      </c>
      <c r="AC9" s="89">
        <v>44013</v>
      </c>
      <c r="AD9" s="89">
        <v>44044</v>
      </c>
      <c r="AE9" s="89">
        <v>44075</v>
      </c>
      <c r="AG9" s="141" t="s">
        <v>69</v>
      </c>
      <c r="AH9" s="141" t="s">
        <v>134</v>
      </c>
    </row>
    <row r="10" spans="2:34" ht="3.75" customHeight="1" x14ac:dyDescent="0.25"/>
    <row r="11" spans="2:34" x14ac:dyDescent="0.25">
      <c r="B11" s="73" t="str">
        <f t="array" ref="B11:B25">Categories</f>
        <v>Salaries</v>
      </c>
      <c r="C11" s="121"/>
      <c r="D11" s="122"/>
      <c r="E11" s="122"/>
      <c r="F11" s="122"/>
      <c r="G11" s="122"/>
      <c r="H11" s="122"/>
      <c r="I11" s="122"/>
      <c r="J11" s="122"/>
      <c r="K11" s="122"/>
      <c r="L11" s="122"/>
      <c r="M11" s="122"/>
      <c r="N11" s="123"/>
      <c r="O11" s="92"/>
      <c r="P11" s="93">
        <f>SUM(C11:INDEX(C11:N11,IndexMonth))</f>
        <v>0</v>
      </c>
      <c r="S11" s="73" t="str">
        <f t="array" ref="S11:S25">Categories</f>
        <v>Salaries</v>
      </c>
      <c r="T11" s="167">
        <f>MIN(+C11,D5)</f>
        <v>0</v>
      </c>
      <c r="U11" s="91">
        <f>MIN(+D11,$D$5-SUM($T$26:T$26))</f>
        <v>0</v>
      </c>
      <c r="V11" s="91">
        <f>MIN(+E11,$D$5-SUM($T26:U26))</f>
        <v>0</v>
      </c>
      <c r="W11" s="91">
        <f>MIN(+F11,$D$5-SUM($T26:V26))</f>
        <v>0</v>
      </c>
      <c r="X11" s="91">
        <f>MIN(+G11,$D$5-SUM($T26:W26))</f>
        <v>0</v>
      </c>
      <c r="Y11" s="91">
        <f>MIN(+H11,$D$5-SUM($T26:X26))</f>
        <v>0</v>
      </c>
      <c r="Z11" s="91">
        <f>MIN(+I11,$D$5-SUM($T26:Y26))</f>
        <v>0</v>
      </c>
      <c r="AA11" s="91">
        <f>MIN(+J11,$D$5-SUM($T26:Z26))</f>
        <v>0</v>
      </c>
      <c r="AB11" s="91">
        <f>MIN(+K11,$D$5-SUM($T26:AA26))</f>
        <v>0</v>
      </c>
      <c r="AC11" s="91">
        <f>MIN(+L11,$D$5-SUM($T26:AB26))</f>
        <v>0</v>
      </c>
      <c r="AD11" s="91">
        <f>MIN(+M11,$D$5-SUM($T26:AC26))</f>
        <v>0</v>
      </c>
      <c r="AE11" s="168">
        <f>MIN(+N11,$D$5-SUM($T26:AD26))</f>
        <v>0</v>
      </c>
      <c r="AG11" s="167">
        <f t="shared" ref="AG11:AG25" si="0">IF(TACA_OWNER,INDEX(T11:AE11,IndexMonth),0)</f>
        <v>0</v>
      </c>
      <c r="AH11" s="168">
        <f>IF(TACA_OWNER,SUM(T11:INDEX(T11:AE11,IndexMonth)),0)</f>
        <v>0</v>
      </c>
    </row>
    <row r="12" spans="2:34" x14ac:dyDescent="0.25">
      <c r="B12" s="73" t="str">
        <v>Benefits &amp; Taxes</v>
      </c>
      <c r="C12" s="121"/>
      <c r="D12" s="122"/>
      <c r="E12" s="122"/>
      <c r="F12" s="122"/>
      <c r="G12" s="122"/>
      <c r="H12" s="122"/>
      <c r="I12" s="122"/>
      <c r="J12" s="122"/>
      <c r="K12" s="122"/>
      <c r="L12" s="122"/>
      <c r="M12" s="122"/>
      <c r="N12" s="123"/>
      <c r="O12" s="92"/>
      <c r="P12" s="93">
        <f>SUM(C12:INDEX(C12:N12,IndexMonth))</f>
        <v>0</v>
      </c>
      <c r="S12" s="73" t="str">
        <v>Benefits &amp; Taxes</v>
      </c>
      <c r="T12" s="167">
        <f>MIN(+C12,D$5-SUM(T$11:T11))</f>
        <v>0</v>
      </c>
      <c r="U12" s="91">
        <f>MIN(+D12,$D$5-SUM($T$26:T$26)-SUM(U$11:U11))</f>
        <v>0</v>
      </c>
      <c r="V12" s="91">
        <f>MIN(+E12,$D$5-SUM($T$26:U$26)-SUM(V$11:V11))</f>
        <v>0</v>
      </c>
      <c r="W12" s="91">
        <f>MIN(+F12,$D$5-SUM($T$26:V$26)-SUM(W$11:W11))</f>
        <v>0</v>
      </c>
      <c r="X12" s="91">
        <f>MIN(+G12,$D$5-SUM($T$26:W$26)-SUM(X$11:X11))</f>
        <v>0</v>
      </c>
      <c r="Y12" s="91">
        <f>MIN(+H12,$D$5-SUM($T$26:X$26)-SUM(Y$11:Y11))</f>
        <v>0</v>
      </c>
      <c r="Z12" s="91">
        <f>MIN(+I12,$D$5-SUM($T$26:Y$26)-SUM(Z$11:Z11))</f>
        <v>0</v>
      </c>
      <c r="AA12" s="91">
        <f>MIN(+J12,$D$5-SUM($T$26:Z$26)-SUM(AA$11:AA11))</f>
        <v>0</v>
      </c>
      <c r="AB12" s="91">
        <f>MIN(+K12,$D$5-SUM($T$26:AA$26)-SUM(AB$11:AB11))</f>
        <v>0</v>
      </c>
      <c r="AC12" s="91">
        <f>MIN(+L12,$D$5-SUM($T$26:AB$26)-SUM(AC$11:AC11))</f>
        <v>0</v>
      </c>
      <c r="AD12" s="91">
        <f>MIN(+M12,$D$5-SUM($T$26:AC$26)-SUM(AD$11:AD11))</f>
        <v>0</v>
      </c>
      <c r="AE12" s="168">
        <f>MIN(+N12,$D$5-SUM($T$26:AD$26)-SUM(AE$11:AE11))</f>
        <v>0</v>
      </c>
      <c r="AG12" s="167">
        <f t="shared" si="0"/>
        <v>0</v>
      </c>
      <c r="AH12" s="168">
        <f>IF(TACA_OWNER,SUM(T12:INDEX(T12:AE12,IndexMonth)),0)</f>
        <v>0</v>
      </c>
    </row>
    <row r="13" spans="2:34" x14ac:dyDescent="0.25">
      <c r="B13" s="73" t="str">
        <v>Professional Fee / Grant &amp; Award</v>
      </c>
      <c r="C13" s="121"/>
      <c r="D13" s="122"/>
      <c r="E13" s="122"/>
      <c r="F13" s="122"/>
      <c r="G13" s="122"/>
      <c r="H13" s="122"/>
      <c r="I13" s="122"/>
      <c r="J13" s="122"/>
      <c r="K13" s="122"/>
      <c r="L13" s="122"/>
      <c r="M13" s="122"/>
      <c r="N13" s="123"/>
      <c r="O13" s="92"/>
      <c r="P13" s="93">
        <f>SUM(C13:INDEX(C13:N13,IndexMonth))</f>
        <v>0</v>
      </c>
      <c r="S13" s="73" t="str">
        <v>Professional Fee / Grant &amp; Award</v>
      </c>
      <c r="T13" s="167">
        <f>MIN(+C13,D$5-SUM(T$11:T12))</f>
        <v>0</v>
      </c>
      <c r="U13" s="91">
        <f>MIN(+D13,$D$5-SUM($T$26:T$26)-SUM(U$11:U12))</f>
        <v>0</v>
      </c>
      <c r="V13" s="91">
        <f>MIN(+E13,$D$5-SUM($T$26:U$26)-SUM(V$11:V12))</f>
        <v>0</v>
      </c>
      <c r="W13" s="91">
        <f>MIN(+F13,$D$5-SUM($T$26:V$26)-SUM(W$11:W12))</f>
        <v>0</v>
      </c>
      <c r="X13" s="91">
        <f>MIN(+G13,$D$5-SUM($T$26:W$26)-SUM(X$11:X12))</f>
        <v>0</v>
      </c>
      <c r="Y13" s="91">
        <f>MIN(+H13,$D$5-SUM($T$26:X$26)-SUM(Y$11:Y12))</f>
        <v>0</v>
      </c>
      <c r="Z13" s="91">
        <f>MIN(+I13,$D$5-SUM($T$26:Y$26)-SUM(Z$11:Z12))</f>
        <v>0</v>
      </c>
      <c r="AA13" s="91">
        <f>MIN(+J13,$D$5-SUM($T$26:Z$26)-SUM(AA$11:AA12))</f>
        <v>0</v>
      </c>
      <c r="AB13" s="91">
        <f>MIN(+K13,$D$5-SUM($T$26:AA$26)-SUM(AB$11:AB12))</f>
        <v>0</v>
      </c>
      <c r="AC13" s="91">
        <f>MIN(+L13,$D$5-SUM($T$26:AB$26)-SUM(AC$11:AC12))</f>
        <v>0</v>
      </c>
      <c r="AD13" s="91">
        <f>MIN(+M13,$D$5-SUM($T$26:AC$26)-SUM(AD$11:AD12))</f>
        <v>0</v>
      </c>
      <c r="AE13" s="168">
        <f>MIN(+N13,$D$5-SUM($T$26:AD$26)-SUM(AE$11:AE12))</f>
        <v>0</v>
      </c>
      <c r="AG13" s="167">
        <f t="shared" si="0"/>
        <v>0</v>
      </c>
      <c r="AH13" s="168">
        <f>IF(TACA_OWNER,SUM(T13:INDEX(T13:AE13,IndexMonth)),0)</f>
        <v>0</v>
      </c>
    </row>
    <row r="14" spans="2:34" x14ac:dyDescent="0.25">
      <c r="B14" s="73" t="str">
        <v>Supplies</v>
      </c>
      <c r="C14" s="121"/>
      <c r="D14" s="122"/>
      <c r="E14" s="122"/>
      <c r="F14" s="122"/>
      <c r="G14" s="122"/>
      <c r="H14" s="122"/>
      <c r="I14" s="122"/>
      <c r="J14" s="122"/>
      <c r="K14" s="122"/>
      <c r="L14" s="122"/>
      <c r="M14" s="122"/>
      <c r="N14" s="123"/>
      <c r="O14" s="92"/>
      <c r="P14" s="93">
        <f>SUM(C14:INDEX(C14:N14,IndexMonth))</f>
        <v>0</v>
      </c>
      <c r="S14" s="73" t="str">
        <v>Supplies</v>
      </c>
      <c r="T14" s="167">
        <f>MIN(+C14,D$5-SUM(T$11:T13))</f>
        <v>0</v>
      </c>
      <c r="U14" s="91">
        <f>MIN(+D14,$D$5-SUM($T$26:T$26)-SUM(U$11:U13))</f>
        <v>0</v>
      </c>
      <c r="V14" s="91">
        <f>MIN(+E14,$D$5-SUM($T$26:U$26)-SUM(V$11:V13))</f>
        <v>0</v>
      </c>
      <c r="W14" s="91">
        <f>MIN(+F14,$D$5-SUM($T$26:V$26)-SUM(W$11:W13))</f>
        <v>0</v>
      </c>
      <c r="X14" s="91">
        <f>MIN(+G14,$D$5-SUM($T$26:W$26)-SUM(X$11:X13))</f>
        <v>0</v>
      </c>
      <c r="Y14" s="91">
        <f>MIN(+H14,$D$5-SUM($T$26:X$26)-SUM(Y$11:Y13))</f>
        <v>0</v>
      </c>
      <c r="Z14" s="91">
        <f>MIN(+I14,$D$5-SUM($T$26:Y$26)-SUM(Z$11:Z13))</f>
        <v>0</v>
      </c>
      <c r="AA14" s="91">
        <f>MIN(+J14,$D$5-SUM($T$26:Z$26)-SUM(AA$11:AA13))</f>
        <v>0</v>
      </c>
      <c r="AB14" s="91">
        <f>MIN(+K14,$D$5-SUM($T$26:AA$26)-SUM(AB$11:AB13))</f>
        <v>0</v>
      </c>
      <c r="AC14" s="91">
        <f>MIN(+L14,$D$5-SUM($T$26:AB$26)-SUM(AC$11:AC13))</f>
        <v>0</v>
      </c>
      <c r="AD14" s="91">
        <f>MIN(+M14,$D$5-SUM($T$26:AC$26)-SUM(AD$11:AD13))</f>
        <v>0</v>
      </c>
      <c r="AE14" s="168">
        <f>MIN(+N14,$D$5-SUM($T$26:AD$26)-SUM(AE$11:AE13))</f>
        <v>0</v>
      </c>
      <c r="AG14" s="167">
        <f t="shared" si="0"/>
        <v>0</v>
      </c>
      <c r="AH14" s="168">
        <f>IF(TACA_OWNER,SUM(T14:INDEX(T14:AE14,IndexMonth)),0)</f>
        <v>0</v>
      </c>
    </row>
    <row r="15" spans="2:34" x14ac:dyDescent="0.25">
      <c r="B15" s="73" t="str">
        <v>Telephone</v>
      </c>
      <c r="C15" s="121"/>
      <c r="D15" s="122"/>
      <c r="E15" s="122"/>
      <c r="F15" s="122"/>
      <c r="G15" s="122"/>
      <c r="H15" s="122"/>
      <c r="I15" s="122"/>
      <c r="J15" s="122"/>
      <c r="K15" s="122"/>
      <c r="L15" s="122"/>
      <c r="M15" s="122"/>
      <c r="N15" s="123"/>
      <c r="O15" s="92"/>
      <c r="P15" s="93">
        <f>SUM(C15:INDEX(C15:N15,IndexMonth))</f>
        <v>0</v>
      </c>
      <c r="S15" s="73" t="str">
        <v>Telephone</v>
      </c>
      <c r="T15" s="167">
        <f>MIN(+C15,D$5-SUM(T$11:T14))</f>
        <v>0</v>
      </c>
      <c r="U15" s="91">
        <f>MIN(+D15,$D$5-SUM($T$26:T$26)-SUM(U$11:U14))</f>
        <v>0</v>
      </c>
      <c r="V15" s="91">
        <f>MIN(+E15,$D$5-SUM($T$26:U$26)-SUM(V$11:V14))</f>
        <v>0</v>
      </c>
      <c r="W15" s="91">
        <f>MIN(+F15,$D$5-SUM($T$26:V$26)-SUM(W$11:W14))</f>
        <v>0</v>
      </c>
      <c r="X15" s="91">
        <f>MIN(+G15,$D$5-SUM($T$26:W$26)-SUM(X$11:X14))</f>
        <v>0</v>
      </c>
      <c r="Y15" s="91">
        <f>MIN(+H15,$D$5-SUM($T$26:X$26)-SUM(Y$11:Y14))</f>
        <v>0</v>
      </c>
      <c r="Z15" s="91">
        <f>MIN(+I15,$D$5-SUM($T$26:Y$26)-SUM(Z$11:Z14))</f>
        <v>0</v>
      </c>
      <c r="AA15" s="91">
        <f>MIN(+J15,$D$5-SUM($T$26:Z$26)-SUM(AA$11:AA14))</f>
        <v>0</v>
      </c>
      <c r="AB15" s="91">
        <f>MIN(+K15,$D$5-SUM($T$26:AA$26)-SUM(AB$11:AB14))</f>
        <v>0</v>
      </c>
      <c r="AC15" s="91">
        <f>MIN(+L15,$D$5-SUM($T$26:AB$26)-SUM(AC$11:AC14))</f>
        <v>0</v>
      </c>
      <c r="AD15" s="91">
        <f>MIN(+M15,$D$5-SUM($T$26:AC$26)-SUM(AD$11:AD14))</f>
        <v>0</v>
      </c>
      <c r="AE15" s="168">
        <f>MIN(+N15,$D$5-SUM($T$26:AD$26)-SUM(AE$11:AE14))</f>
        <v>0</v>
      </c>
      <c r="AG15" s="167">
        <f t="shared" si="0"/>
        <v>0</v>
      </c>
      <c r="AH15" s="168">
        <f>IF(TACA_OWNER,SUM(T15:INDEX(T15:AE15,IndexMonth)),0)</f>
        <v>0</v>
      </c>
    </row>
    <row r="16" spans="2:34" x14ac:dyDescent="0.25">
      <c r="B16" s="73" t="str">
        <v>Postage &amp; Shipping</v>
      </c>
      <c r="C16" s="121"/>
      <c r="D16" s="122"/>
      <c r="E16" s="122"/>
      <c r="F16" s="122"/>
      <c r="G16" s="122"/>
      <c r="H16" s="122"/>
      <c r="I16" s="122"/>
      <c r="J16" s="122"/>
      <c r="K16" s="122"/>
      <c r="L16" s="122"/>
      <c r="M16" s="122"/>
      <c r="N16" s="123"/>
      <c r="O16" s="92"/>
      <c r="P16" s="93">
        <f>SUM(C16:INDEX(C16:N16,IndexMonth))</f>
        <v>0</v>
      </c>
      <c r="S16" s="73" t="str">
        <v>Postage &amp; Shipping</v>
      </c>
      <c r="T16" s="167">
        <f>MIN(+C16,D$5-SUM(T$11:T15))</f>
        <v>0</v>
      </c>
      <c r="U16" s="91">
        <f>MIN(+D16,$D$5-SUM($T$26:T$26)-SUM(U$11:U15))</f>
        <v>0</v>
      </c>
      <c r="V16" s="91">
        <f>MIN(+E16,$D$5-SUM($T$26:U$26)-SUM(V$11:V15))</f>
        <v>0</v>
      </c>
      <c r="W16" s="91">
        <f>MIN(+F16,$D$5-SUM($T$26:V$26)-SUM(W$11:W15))</f>
        <v>0</v>
      </c>
      <c r="X16" s="91">
        <f>MIN(+G16,$D$5-SUM($T$26:W$26)-SUM(X$11:X15))</f>
        <v>0</v>
      </c>
      <c r="Y16" s="91">
        <f>MIN(+H16,$D$5-SUM($T$26:X$26)-SUM(Y$11:Y15))</f>
        <v>0</v>
      </c>
      <c r="Z16" s="91">
        <f>MIN(+I16,$D$5-SUM($T$26:Y$26)-SUM(Z$11:Z15))</f>
        <v>0</v>
      </c>
      <c r="AA16" s="91">
        <f>MIN(+J16,$D$5-SUM($T$26:Z$26)-SUM(AA$11:AA15))</f>
        <v>0</v>
      </c>
      <c r="AB16" s="91">
        <f>MIN(+K16,$D$5-SUM($T$26:AA$26)-SUM(AB$11:AB15))</f>
        <v>0</v>
      </c>
      <c r="AC16" s="91">
        <f>MIN(+L16,$D$5-SUM($T$26:AB$26)-SUM(AC$11:AC15))</f>
        <v>0</v>
      </c>
      <c r="AD16" s="91">
        <f>MIN(+M16,$D$5-SUM($T$26:AC$26)-SUM(AD$11:AD15))</f>
        <v>0</v>
      </c>
      <c r="AE16" s="168">
        <f>MIN(+N16,$D$5-SUM($T$26:AD$26)-SUM(AE$11:AE15))</f>
        <v>0</v>
      </c>
      <c r="AG16" s="167">
        <f t="shared" si="0"/>
        <v>0</v>
      </c>
      <c r="AH16" s="168">
        <f>IF(TACA_OWNER,SUM(T16:INDEX(T16:AE16,IndexMonth)),0)</f>
        <v>0</v>
      </c>
    </row>
    <row r="17" spans="2:34" x14ac:dyDescent="0.25">
      <c r="B17" s="73" t="str">
        <v>Occupancy</v>
      </c>
      <c r="C17" s="121"/>
      <c r="D17" s="122"/>
      <c r="E17" s="122"/>
      <c r="F17" s="122"/>
      <c r="G17" s="122"/>
      <c r="H17" s="122"/>
      <c r="I17" s="122"/>
      <c r="J17" s="122"/>
      <c r="K17" s="122"/>
      <c r="L17" s="122"/>
      <c r="M17" s="122"/>
      <c r="N17" s="123"/>
      <c r="O17" s="92"/>
      <c r="P17" s="93">
        <f>SUM(C17:INDEX(C17:N17,IndexMonth))</f>
        <v>0</v>
      </c>
      <c r="S17" s="73" t="str">
        <v>Occupancy</v>
      </c>
      <c r="T17" s="167">
        <f>MIN(+C17,D$5-SUM(T$11:T16))</f>
        <v>0</v>
      </c>
      <c r="U17" s="91">
        <f>MIN(+D17,$D$5-SUM($T$26:T$26)-SUM(U$11:U16))</f>
        <v>0</v>
      </c>
      <c r="V17" s="91">
        <f>MIN(+E17,$D$5-SUM($T$26:U$26)-SUM(V$11:V16))</f>
        <v>0</v>
      </c>
      <c r="W17" s="91">
        <f>MIN(+F17,$D$5-SUM($T$26:V$26)-SUM(W$11:W16))</f>
        <v>0</v>
      </c>
      <c r="X17" s="91">
        <f>MIN(+G17,$D$5-SUM($T$26:W$26)-SUM(X$11:X16))</f>
        <v>0</v>
      </c>
      <c r="Y17" s="91">
        <f>MIN(+H17,$D$5-SUM($T$26:X$26)-SUM(Y$11:Y16))</f>
        <v>0</v>
      </c>
      <c r="Z17" s="91">
        <f>MIN(+I17,$D$5-SUM($T$26:Y$26)-SUM(Z$11:Z16))</f>
        <v>0</v>
      </c>
      <c r="AA17" s="91">
        <f>MIN(+J17,$D$5-SUM($T$26:Z$26)-SUM(AA$11:AA16))</f>
        <v>0</v>
      </c>
      <c r="AB17" s="91">
        <f>MIN(+K17,$D$5-SUM($T$26:AA$26)-SUM(AB$11:AB16))</f>
        <v>0</v>
      </c>
      <c r="AC17" s="91">
        <f>MIN(+L17,$D$5-SUM($T$26:AB$26)-SUM(AC$11:AC16))</f>
        <v>0</v>
      </c>
      <c r="AD17" s="91">
        <f>MIN(+M17,$D$5-SUM($T$26:AC$26)-SUM(AD$11:AD16))</f>
        <v>0</v>
      </c>
      <c r="AE17" s="168">
        <f>MIN(+N17,$D$5-SUM($T$26:AD$26)-SUM(AE$11:AE16))</f>
        <v>0</v>
      </c>
      <c r="AG17" s="167">
        <f t="shared" si="0"/>
        <v>0</v>
      </c>
      <c r="AH17" s="168">
        <f>IF(TACA_OWNER,SUM(T17:INDEX(T17:AE17,IndexMonth)),0)</f>
        <v>0</v>
      </c>
    </row>
    <row r="18" spans="2:34" x14ac:dyDescent="0.25">
      <c r="B18" s="73" t="str">
        <v>Equipment Rental &amp; Maintenance</v>
      </c>
      <c r="C18" s="121"/>
      <c r="D18" s="122"/>
      <c r="E18" s="122"/>
      <c r="F18" s="122"/>
      <c r="G18" s="122"/>
      <c r="H18" s="122"/>
      <c r="I18" s="122"/>
      <c r="J18" s="122"/>
      <c r="K18" s="122"/>
      <c r="L18" s="122"/>
      <c r="M18" s="122"/>
      <c r="N18" s="123"/>
      <c r="O18" s="92"/>
      <c r="P18" s="93">
        <f>SUM(C18:INDEX(C18:N18,IndexMonth))</f>
        <v>0</v>
      </c>
      <c r="S18" s="73" t="str">
        <v>Equipment Rental &amp; Maintenance</v>
      </c>
      <c r="T18" s="167">
        <f>MIN(+C18,D$5-SUM(T$11:T17))</f>
        <v>0</v>
      </c>
      <c r="U18" s="91">
        <f>MIN(+D18,$D$5-SUM($T$26:T$26)-SUM(U$11:U17))</f>
        <v>0</v>
      </c>
      <c r="V18" s="91">
        <f>MIN(+E18,$D$5-SUM($T$26:U$26)-SUM(V$11:V17))</f>
        <v>0</v>
      </c>
      <c r="W18" s="91">
        <f>MIN(+F18,$D$5-SUM($T$26:V$26)-SUM(W$11:W17))</f>
        <v>0</v>
      </c>
      <c r="X18" s="91">
        <f>MIN(+G18,$D$5-SUM($T$26:W$26)-SUM(X$11:X17))</f>
        <v>0</v>
      </c>
      <c r="Y18" s="91">
        <f>MIN(+H18,$D$5-SUM($T$26:X$26)-SUM(Y$11:Y17))</f>
        <v>0</v>
      </c>
      <c r="Z18" s="91">
        <f>MIN(+I18,$D$5-SUM($T$26:Y$26)-SUM(Z$11:Z17))</f>
        <v>0</v>
      </c>
      <c r="AA18" s="91">
        <f>MIN(+J18,$D$5-SUM($T$26:Z$26)-SUM(AA$11:AA17))</f>
        <v>0</v>
      </c>
      <c r="AB18" s="91">
        <f>MIN(+K18,$D$5-SUM($T$26:AA$26)-SUM(AB$11:AB17))</f>
        <v>0</v>
      </c>
      <c r="AC18" s="91">
        <f>MIN(+L18,$D$5-SUM($T$26:AB$26)-SUM(AC$11:AC17))</f>
        <v>0</v>
      </c>
      <c r="AD18" s="91">
        <f>MIN(+M18,$D$5-SUM($T$26:AC$26)-SUM(AD$11:AD17))</f>
        <v>0</v>
      </c>
      <c r="AE18" s="168">
        <f>MIN(+N18,$D$5-SUM($T$26:AD$26)-SUM(AE$11:AE17))</f>
        <v>0</v>
      </c>
      <c r="AG18" s="167">
        <f t="shared" si="0"/>
        <v>0</v>
      </c>
      <c r="AH18" s="168">
        <f>IF(TACA_OWNER,SUM(T18:INDEX(T18:AE18,IndexMonth)),0)</f>
        <v>0</v>
      </c>
    </row>
    <row r="19" spans="2:34" x14ac:dyDescent="0.25">
      <c r="B19" s="73" t="str">
        <v>Printing &amp; Publications</v>
      </c>
      <c r="C19" s="121"/>
      <c r="D19" s="122"/>
      <c r="E19" s="122"/>
      <c r="F19" s="122"/>
      <c r="G19" s="122"/>
      <c r="H19" s="122"/>
      <c r="I19" s="122"/>
      <c r="J19" s="122"/>
      <c r="K19" s="122"/>
      <c r="L19" s="122"/>
      <c r="M19" s="122"/>
      <c r="N19" s="123"/>
      <c r="O19" s="92"/>
      <c r="P19" s="93">
        <f>SUM(C19:INDEX(C19:N19,IndexMonth))</f>
        <v>0</v>
      </c>
      <c r="S19" s="73" t="str">
        <v>Printing &amp; Publications</v>
      </c>
      <c r="T19" s="167">
        <f>MIN(+C19,D$5-SUM(T$11:T18))</f>
        <v>0</v>
      </c>
      <c r="U19" s="91">
        <f>MIN(+D19,$D$5-SUM($T$26:T$26)-SUM(U$11:U18))</f>
        <v>0</v>
      </c>
      <c r="V19" s="91">
        <f>MIN(+E19,$D$5-SUM($T$26:U$26)-SUM(V$11:V18))</f>
        <v>0</v>
      </c>
      <c r="W19" s="91">
        <f>MIN(+F19,$D$5-SUM($T$26:V$26)-SUM(W$11:W18))</f>
        <v>0</v>
      </c>
      <c r="X19" s="91">
        <f>MIN(+G19,$D$5-SUM($T$26:W$26)-SUM(X$11:X18))</f>
        <v>0</v>
      </c>
      <c r="Y19" s="91">
        <f>MIN(+H19,$D$5-SUM($T$26:X$26)-SUM(Y$11:Y18))</f>
        <v>0</v>
      </c>
      <c r="Z19" s="91">
        <f>MIN(+I19,$D$5-SUM($T$26:Y$26)-SUM(Z$11:Z18))</f>
        <v>0</v>
      </c>
      <c r="AA19" s="91">
        <f>MIN(+J19,$D$5-SUM($T$26:Z$26)-SUM(AA$11:AA18))</f>
        <v>0</v>
      </c>
      <c r="AB19" s="91">
        <f>MIN(+K19,$D$5-SUM($T$26:AA$26)-SUM(AB$11:AB18))</f>
        <v>0</v>
      </c>
      <c r="AC19" s="91">
        <f>MIN(+L19,$D$5-SUM($T$26:AB$26)-SUM(AC$11:AC18))</f>
        <v>0</v>
      </c>
      <c r="AD19" s="91">
        <f>MIN(+M19,$D$5-SUM($T$26:AC$26)-SUM(AD$11:AD18))</f>
        <v>0</v>
      </c>
      <c r="AE19" s="168">
        <f>MIN(+N19,$D$5-SUM($T$26:AD$26)-SUM(AE$11:AE18))</f>
        <v>0</v>
      </c>
      <c r="AG19" s="167">
        <f t="shared" si="0"/>
        <v>0</v>
      </c>
      <c r="AH19" s="168">
        <f>IF(TACA_OWNER,SUM(T19:INDEX(T19:AE19,IndexMonth)),0)</f>
        <v>0</v>
      </c>
    </row>
    <row r="20" spans="2:34" x14ac:dyDescent="0.25">
      <c r="B20" s="73" t="str">
        <v>Travel / Conferences &amp; Meetings</v>
      </c>
      <c r="C20" s="121"/>
      <c r="D20" s="122"/>
      <c r="E20" s="122"/>
      <c r="F20" s="122"/>
      <c r="G20" s="122"/>
      <c r="H20" s="122"/>
      <c r="I20" s="122"/>
      <c r="J20" s="122"/>
      <c r="K20" s="122"/>
      <c r="L20" s="122"/>
      <c r="M20" s="122"/>
      <c r="N20" s="123"/>
      <c r="O20" s="92"/>
      <c r="P20" s="93">
        <f>SUM(C20:INDEX(C20:N20,IndexMonth))</f>
        <v>0</v>
      </c>
      <c r="S20" s="73" t="str">
        <v>Travel / Conferences &amp; Meetings</v>
      </c>
      <c r="T20" s="167">
        <f>MIN(+C20,D$5-SUM(T$11:T19))</f>
        <v>0</v>
      </c>
      <c r="U20" s="91">
        <f>MIN(+D20,$D$5-SUM($T$26:T$26)-SUM(U$11:U19))</f>
        <v>0</v>
      </c>
      <c r="V20" s="91">
        <f>MIN(+E20,$D$5-SUM($T$26:U$26)-SUM(V$11:V19))</f>
        <v>0</v>
      </c>
      <c r="W20" s="91">
        <f>MIN(+F20,$D$5-SUM($T$26:V$26)-SUM(W$11:W19))</f>
        <v>0</v>
      </c>
      <c r="X20" s="91">
        <f>MIN(+G20,$D$5-SUM($T$26:W$26)-SUM(X$11:X19))</f>
        <v>0</v>
      </c>
      <c r="Y20" s="91">
        <f>MIN(+H20,$D$5-SUM($T$26:X$26)-SUM(Y$11:Y19))</f>
        <v>0</v>
      </c>
      <c r="Z20" s="91">
        <f>MIN(+I20,$D$5-SUM($T$26:Y$26)-SUM(Z$11:Z19))</f>
        <v>0</v>
      </c>
      <c r="AA20" s="91">
        <f>MIN(+J20,$D$5-SUM($T$26:Z$26)-SUM(AA$11:AA19))</f>
        <v>0</v>
      </c>
      <c r="AB20" s="91">
        <f>MIN(+K20,$D$5-SUM($T$26:AA$26)-SUM(AB$11:AB19))</f>
        <v>0</v>
      </c>
      <c r="AC20" s="91">
        <f>MIN(+L20,$D$5-SUM($T$26:AB$26)-SUM(AC$11:AC19))</f>
        <v>0</v>
      </c>
      <c r="AD20" s="91">
        <f>MIN(+M20,$D$5-SUM($T$26:AC$26)-SUM(AD$11:AD19))</f>
        <v>0</v>
      </c>
      <c r="AE20" s="168">
        <f>MIN(+N20,$D$5-SUM($T$26:AD$26)-SUM(AE$11:AE19))</f>
        <v>0</v>
      </c>
      <c r="AG20" s="167">
        <f t="shared" si="0"/>
        <v>0</v>
      </c>
      <c r="AH20" s="168">
        <f>IF(TACA_OWNER,SUM(T20:INDEX(T20:AE20,IndexMonth)),0)</f>
        <v>0</v>
      </c>
    </row>
    <row r="21" spans="2:34" x14ac:dyDescent="0.25">
      <c r="B21" s="73" t="str">
        <v>Insurance</v>
      </c>
      <c r="C21" s="121"/>
      <c r="D21" s="122"/>
      <c r="E21" s="122"/>
      <c r="F21" s="122"/>
      <c r="G21" s="122"/>
      <c r="H21" s="122"/>
      <c r="I21" s="122"/>
      <c r="J21" s="122"/>
      <c r="K21" s="122"/>
      <c r="L21" s="122"/>
      <c r="M21" s="122"/>
      <c r="N21" s="123"/>
      <c r="O21" s="92"/>
      <c r="P21" s="93">
        <f>SUM(C21:INDEX(C21:N21,IndexMonth))</f>
        <v>0</v>
      </c>
      <c r="S21" s="73" t="str">
        <v>Insurance</v>
      </c>
      <c r="T21" s="167">
        <f>MIN(+C21,D$5-SUM(T$11:T20))</f>
        <v>0</v>
      </c>
      <c r="U21" s="91">
        <f>MIN(+D21,$D$5-SUM($T$26:T$26)-SUM(U$11:U20))</f>
        <v>0</v>
      </c>
      <c r="V21" s="91">
        <f>MIN(+E21,$D$5-SUM($T$26:U$26)-SUM(V$11:V20))</f>
        <v>0</v>
      </c>
      <c r="W21" s="91">
        <f>MIN(+F21,$D$5-SUM($T$26:V$26)-SUM(W$11:W20))</f>
        <v>0</v>
      </c>
      <c r="X21" s="91">
        <f>MIN(+G21,$D$5-SUM($T$26:W$26)-SUM(X$11:X20))</f>
        <v>0</v>
      </c>
      <c r="Y21" s="91">
        <f>MIN(+H21,$D$5-SUM($T$26:X$26)-SUM(Y$11:Y20))</f>
        <v>0</v>
      </c>
      <c r="Z21" s="91">
        <f>MIN(+I21,$D$5-SUM($T$26:Y$26)-SUM(Z$11:Z20))</f>
        <v>0</v>
      </c>
      <c r="AA21" s="91">
        <f>MIN(+J21,$D$5-SUM($T$26:Z$26)-SUM(AA$11:AA20))</f>
        <v>0</v>
      </c>
      <c r="AB21" s="91">
        <f>MIN(+K21,$D$5-SUM($T$26:AA$26)-SUM(AB$11:AB20))</f>
        <v>0</v>
      </c>
      <c r="AC21" s="91">
        <f>MIN(+L21,$D$5-SUM($T$26:AB$26)-SUM(AC$11:AC20))</f>
        <v>0</v>
      </c>
      <c r="AD21" s="91">
        <f>MIN(+M21,$D$5-SUM($T$26:AC$26)-SUM(AD$11:AD20))</f>
        <v>0</v>
      </c>
      <c r="AE21" s="168">
        <f>MIN(+N21,$D$5-SUM($T$26:AD$26)-SUM(AE$11:AE20))</f>
        <v>0</v>
      </c>
      <c r="AG21" s="167">
        <f t="shared" si="0"/>
        <v>0</v>
      </c>
      <c r="AH21" s="168">
        <f>IF(TACA_OWNER,SUM(T21:INDEX(T21:AE21,IndexMonth)),0)</f>
        <v>0</v>
      </c>
    </row>
    <row r="22" spans="2:34" x14ac:dyDescent="0.25">
      <c r="B22" s="73" t="str">
        <v>Specific Assistance to Individuals</v>
      </c>
      <c r="C22" s="121"/>
      <c r="D22" s="122"/>
      <c r="E22" s="122"/>
      <c r="F22" s="122"/>
      <c r="G22" s="122"/>
      <c r="H22" s="122"/>
      <c r="I22" s="122"/>
      <c r="J22" s="122"/>
      <c r="K22" s="122"/>
      <c r="L22" s="122"/>
      <c r="M22" s="122"/>
      <c r="N22" s="123"/>
      <c r="O22" s="92"/>
      <c r="P22" s="93">
        <f>SUM(C22:INDEX(C22:N22,IndexMonth))</f>
        <v>0</v>
      </c>
      <c r="S22" s="73" t="str">
        <v>Specific Assistance to Individuals</v>
      </c>
      <c r="T22" s="167">
        <f>MIN(+C22,D$5-SUM(T$11:T21))</f>
        <v>0</v>
      </c>
      <c r="U22" s="91">
        <f>MIN(+D22,$D$5-SUM($T$26:T$26)-SUM(U$11:U21))</f>
        <v>0</v>
      </c>
      <c r="V22" s="91">
        <f>MIN(+E22,$D$5-SUM($T$26:U$26)-SUM(V$11:V21))</f>
        <v>0</v>
      </c>
      <c r="W22" s="91">
        <f>MIN(+F22,$D$5-SUM($T$26:V$26)-SUM(W$11:W21))</f>
        <v>0</v>
      </c>
      <c r="X22" s="91">
        <f>MIN(+G22,$D$5-SUM($T$26:W$26)-SUM(X$11:X21))</f>
        <v>0</v>
      </c>
      <c r="Y22" s="91">
        <f>MIN(+H22,$D$5-SUM($T$26:X$26)-SUM(Y$11:Y21))</f>
        <v>0</v>
      </c>
      <c r="Z22" s="91">
        <f>MIN(+I22,$D$5-SUM($T$26:Y$26)-SUM(Z$11:Z21))</f>
        <v>0</v>
      </c>
      <c r="AA22" s="91">
        <f>MIN(+J22,$D$5-SUM($T$26:Z$26)-SUM(AA$11:AA21))</f>
        <v>0</v>
      </c>
      <c r="AB22" s="91">
        <f>MIN(+K22,$D$5-SUM($T$26:AA$26)-SUM(AB$11:AB21))</f>
        <v>0</v>
      </c>
      <c r="AC22" s="91">
        <f>MIN(+L22,$D$5-SUM($T$26:AB$26)-SUM(AC$11:AC21))</f>
        <v>0</v>
      </c>
      <c r="AD22" s="91">
        <f>MIN(+M22,$D$5-SUM($T$26:AC$26)-SUM(AD$11:AD21))</f>
        <v>0</v>
      </c>
      <c r="AE22" s="168">
        <f>MIN(+N22,$D$5-SUM($T$26:AD$26)-SUM(AE$11:AE21))</f>
        <v>0</v>
      </c>
      <c r="AG22" s="167">
        <f t="shared" si="0"/>
        <v>0</v>
      </c>
      <c r="AH22" s="168">
        <f>IF(TACA_OWNER,SUM(T22:INDEX(T22:AE22,IndexMonth)),0)</f>
        <v>0</v>
      </c>
    </row>
    <row r="23" spans="2:34" x14ac:dyDescent="0.25">
      <c r="B23" s="73" t="str">
        <v>Depreciation</v>
      </c>
      <c r="C23" s="121"/>
      <c r="D23" s="122"/>
      <c r="E23" s="122"/>
      <c r="F23" s="122"/>
      <c r="G23" s="122"/>
      <c r="H23" s="122"/>
      <c r="I23" s="122"/>
      <c r="J23" s="122"/>
      <c r="K23" s="122"/>
      <c r="L23" s="122"/>
      <c r="M23" s="122"/>
      <c r="N23" s="123"/>
      <c r="O23" s="92"/>
      <c r="P23" s="93">
        <f>SUM(C23:INDEX(C23:N23,IndexMonth))</f>
        <v>0</v>
      </c>
      <c r="S23" s="73" t="str">
        <v>Depreciation</v>
      </c>
      <c r="T23" s="167">
        <f>MIN(+C23,D$5-SUM(T$11:T22))</f>
        <v>0</v>
      </c>
      <c r="U23" s="91">
        <f>MIN(+D23,$D$5-SUM($T$26:T$26)-SUM(U$11:U22))</f>
        <v>0</v>
      </c>
      <c r="V23" s="91">
        <f>MIN(+E23,$D$5-SUM($T$26:U$26)-SUM(V$11:V22))</f>
        <v>0</v>
      </c>
      <c r="W23" s="91">
        <f>MIN(+F23,$D$5-SUM($T$26:V$26)-SUM(W$11:W22))</f>
        <v>0</v>
      </c>
      <c r="X23" s="91">
        <f>MIN(+G23,$D$5-SUM($T$26:W$26)-SUM(X$11:X22))</f>
        <v>0</v>
      </c>
      <c r="Y23" s="91">
        <f>MIN(+H23,$D$5-SUM($T$26:X$26)-SUM(Y$11:Y22))</f>
        <v>0</v>
      </c>
      <c r="Z23" s="91">
        <f>MIN(+I23,$D$5-SUM($T$26:Y$26)-SUM(Z$11:Z22))</f>
        <v>0</v>
      </c>
      <c r="AA23" s="91">
        <f>MIN(+J23,$D$5-SUM($T$26:Z$26)-SUM(AA$11:AA22))</f>
        <v>0</v>
      </c>
      <c r="AB23" s="91">
        <f>MIN(+K23,$D$5-SUM($T$26:AA$26)-SUM(AB$11:AB22))</f>
        <v>0</v>
      </c>
      <c r="AC23" s="91">
        <f>MIN(+L23,$D$5-SUM($T$26:AB$26)-SUM(AC$11:AC22))</f>
        <v>0</v>
      </c>
      <c r="AD23" s="91">
        <f>MIN(+M23,$D$5-SUM($T$26:AC$26)-SUM(AD$11:AD22))</f>
        <v>0</v>
      </c>
      <c r="AE23" s="168">
        <f>MIN(+N23,$D$5-SUM($T$26:AD$26)-SUM(AE$11:AE22))</f>
        <v>0</v>
      </c>
      <c r="AG23" s="167">
        <f t="shared" si="0"/>
        <v>0</v>
      </c>
      <c r="AH23" s="168">
        <f>IF(TACA_OWNER,SUM(T23:INDEX(T23:AE23,IndexMonth)),0)</f>
        <v>0</v>
      </c>
    </row>
    <row r="24" spans="2:34" x14ac:dyDescent="0.25">
      <c r="B24" s="73" t="str">
        <v>Other Non_Personnel</v>
      </c>
      <c r="C24" s="121"/>
      <c r="D24" s="122"/>
      <c r="E24" s="122"/>
      <c r="F24" s="122"/>
      <c r="G24" s="122"/>
      <c r="H24" s="122"/>
      <c r="I24" s="122"/>
      <c r="J24" s="122"/>
      <c r="K24" s="122"/>
      <c r="L24" s="122"/>
      <c r="M24" s="122"/>
      <c r="N24" s="123"/>
      <c r="O24" s="92"/>
      <c r="P24" s="93">
        <f>SUM(C24:INDEX(C24:N24,IndexMonth))</f>
        <v>0</v>
      </c>
      <c r="S24" s="73" t="str">
        <v>Other Non_Personnel</v>
      </c>
      <c r="T24" s="167">
        <f>MIN(+C24,D$5-SUM(T$11:T23))</f>
        <v>0</v>
      </c>
      <c r="U24" s="91">
        <f>MIN(+D24,$D$5-SUM($T$26:T$26)-SUM(U$11:U23))</f>
        <v>0</v>
      </c>
      <c r="V24" s="91">
        <f>MIN(+E24,$D$5-SUM($T$26:U$26)-SUM(V$11:V23))</f>
        <v>0</v>
      </c>
      <c r="W24" s="91">
        <f>MIN(+F24,$D$5-SUM($T$26:V$26)-SUM(W$11:W23))</f>
        <v>0</v>
      </c>
      <c r="X24" s="91">
        <f>MIN(+G24,$D$5-SUM($T$26:W$26)-SUM(X$11:X23))</f>
        <v>0</v>
      </c>
      <c r="Y24" s="91">
        <f>MIN(+H24,$D$5-SUM($T$26:X$26)-SUM(Y$11:Y23))</f>
        <v>0</v>
      </c>
      <c r="Z24" s="91">
        <f>MIN(+I24,$D$5-SUM($T$26:Y$26)-SUM(Z$11:Z23))</f>
        <v>0</v>
      </c>
      <c r="AA24" s="91">
        <f>MIN(+J24,$D$5-SUM($T$26:Z$26)-SUM(AA$11:AA23))</f>
        <v>0</v>
      </c>
      <c r="AB24" s="91">
        <f>MIN(+K24,$D$5-SUM($T$26:AA$26)-SUM(AB$11:AB23))</f>
        <v>0</v>
      </c>
      <c r="AC24" s="91">
        <f>MIN(+L24,$D$5-SUM($T$26:AB$26)-SUM(AC$11:AC23))</f>
        <v>0</v>
      </c>
      <c r="AD24" s="91">
        <f>MIN(+M24,$D$5-SUM($T$26:AC$26)-SUM(AD$11:AD23))</f>
        <v>0</v>
      </c>
      <c r="AE24" s="168">
        <f>MIN(+N24,$D$5-SUM($T$26:AD$26)-SUM(AE$11:AE23))</f>
        <v>0</v>
      </c>
      <c r="AG24" s="167">
        <f t="shared" si="0"/>
        <v>0</v>
      </c>
      <c r="AH24" s="168">
        <f>IF(TACA_OWNER,SUM(T24:INDEX(T24:AE24,IndexMonth)),0)</f>
        <v>0</v>
      </c>
    </row>
    <row r="25" spans="2:34" x14ac:dyDescent="0.25">
      <c r="B25" s="73" t="str">
        <v>Indirect Cost / Adm. Exp. / M&amp;G</v>
      </c>
      <c r="C25" s="121"/>
      <c r="D25" s="122"/>
      <c r="E25" s="122"/>
      <c r="F25" s="122"/>
      <c r="G25" s="122"/>
      <c r="H25" s="122"/>
      <c r="I25" s="122"/>
      <c r="J25" s="122"/>
      <c r="K25" s="122"/>
      <c r="L25" s="122"/>
      <c r="M25" s="122"/>
      <c r="N25" s="123"/>
      <c r="O25" s="92"/>
      <c r="P25" s="93">
        <f>SUM(C25:INDEX(C25:N25,IndexMonth))</f>
        <v>0</v>
      </c>
      <c r="S25" s="73" t="str">
        <v>Indirect Cost / Adm. Exp. / M&amp;G</v>
      </c>
      <c r="T25" s="167">
        <f>MIN(+C25,D$5-SUM(T$11:T24))</f>
        <v>0</v>
      </c>
      <c r="U25" s="91">
        <f>MIN(+D25,$D$5-SUM($T$26:T$26)-SUM(U$11:U24))</f>
        <v>0</v>
      </c>
      <c r="V25" s="91">
        <f>MIN(+E25,$D$5-SUM($T$26:U$26)-SUM(V$11:V24))</f>
        <v>0</v>
      </c>
      <c r="W25" s="91">
        <f>MIN(+F25,$D$5-SUM($T$26:V$26)-SUM(W$11:W24))</f>
        <v>0</v>
      </c>
      <c r="X25" s="91">
        <f>MIN(+G25,$D$5-SUM($T$26:W$26)-SUM(X$11:X24))</f>
        <v>0</v>
      </c>
      <c r="Y25" s="91">
        <f>MIN(+H25,$D$5-SUM($T$26:X$26)-SUM(Y$11:Y24))</f>
        <v>0</v>
      </c>
      <c r="Z25" s="91">
        <f>MIN(+I25,$D$5-SUM($T$26:Y$26)-SUM(Z$11:Z24))</f>
        <v>0</v>
      </c>
      <c r="AA25" s="91">
        <f>MIN(+J25,$D$5-SUM($T$26:Z$26)-SUM(AA$11:AA24))</f>
        <v>0</v>
      </c>
      <c r="AB25" s="91">
        <f>MIN(+K25,$D$5-SUM($T$26:AA$26)-SUM(AB$11:AB24))</f>
        <v>0</v>
      </c>
      <c r="AC25" s="91">
        <f>MIN(+L25,$D$5-SUM($T$26:AB$26)-SUM(AC$11:AC24))</f>
        <v>0</v>
      </c>
      <c r="AD25" s="91">
        <f>MIN(+M25,$D$5-SUM($T$26:AC$26)-SUM(AD$11:AD24))</f>
        <v>0</v>
      </c>
      <c r="AE25" s="168">
        <f>MIN(+N25,$D$5-SUM($T$26:AD$26)-SUM(AE$11:AE24))</f>
        <v>0</v>
      </c>
      <c r="AG25" s="167">
        <f t="shared" si="0"/>
        <v>0</v>
      </c>
      <c r="AH25" s="168">
        <f>IF(TACA_OWNER,SUM(T25:INDEX(T25:AE25,IndexMonth)),0)</f>
        <v>0</v>
      </c>
    </row>
    <row r="26" spans="2:34" x14ac:dyDescent="0.25">
      <c r="B26" s="87" t="s">
        <v>51</v>
      </c>
      <c r="C26" s="94">
        <f>SUM(C11:C25)</f>
        <v>0</v>
      </c>
      <c r="D26" s="94">
        <f t="shared" ref="D26:P26" si="1">SUM(D11:D25)</f>
        <v>0</v>
      </c>
      <c r="E26" s="94">
        <f t="shared" si="1"/>
        <v>0</v>
      </c>
      <c r="F26" s="94">
        <f t="shared" si="1"/>
        <v>0</v>
      </c>
      <c r="G26" s="94">
        <f t="shared" si="1"/>
        <v>0</v>
      </c>
      <c r="H26" s="94">
        <f t="shared" si="1"/>
        <v>0</v>
      </c>
      <c r="I26" s="94">
        <f t="shared" si="1"/>
        <v>0</v>
      </c>
      <c r="J26" s="94">
        <f t="shared" si="1"/>
        <v>0</v>
      </c>
      <c r="K26" s="94">
        <f t="shared" si="1"/>
        <v>0</v>
      </c>
      <c r="L26" s="94">
        <f t="shared" si="1"/>
        <v>0</v>
      </c>
      <c r="M26" s="94">
        <f t="shared" si="1"/>
        <v>0</v>
      </c>
      <c r="N26" s="94">
        <f t="shared" si="1"/>
        <v>0</v>
      </c>
      <c r="O26" s="90"/>
      <c r="P26" s="94">
        <f t="shared" si="1"/>
        <v>0</v>
      </c>
      <c r="S26" s="97" t="s">
        <v>137</v>
      </c>
      <c r="T26" s="88">
        <f>SUM(T11:T25)</f>
        <v>0</v>
      </c>
      <c r="U26" s="88">
        <f t="shared" ref="U26:AE26" si="2">SUM(U11:U25)</f>
        <v>0</v>
      </c>
      <c r="V26" s="88">
        <f t="shared" si="2"/>
        <v>0</v>
      </c>
      <c r="W26" s="88">
        <f t="shared" si="2"/>
        <v>0</v>
      </c>
      <c r="X26" s="88">
        <f t="shared" si="2"/>
        <v>0</v>
      </c>
      <c r="Y26" s="88">
        <f t="shared" si="2"/>
        <v>0</v>
      </c>
      <c r="Z26" s="88">
        <f t="shared" si="2"/>
        <v>0</v>
      </c>
      <c r="AA26" s="88">
        <f t="shared" si="2"/>
        <v>0</v>
      </c>
      <c r="AB26" s="88">
        <f t="shared" si="2"/>
        <v>0</v>
      </c>
      <c r="AC26" s="88">
        <f t="shared" si="2"/>
        <v>0</v>
      </c>
      <c r="AD26" s="88">
        <f t="shared" si="2"/>
        <v>0</v>
      </c>
      <c r="AE26" s="88">
        <f t="shared" si="2"/>
        <v>0</v>
      </c>
      <c r="AG26" s="94">
        <f>SUM(AG11:AG25)</f>
        <v>0</v>
      </c>
      <c r="AH26" s="94">
        <f>SUM(AH11:AH25)</f>
        <v>0</v>
      </c>
    </row>
    <row r="27" spans="2:34" x14ac:dyDescent="0.25"/>
    <row r="28" spans="2:34" x14ac:dyDescent="0.25">
      <c r="C28" s="194" t="str">
        <f>IF(TACA_ERROR,"The amount of TACA expenditures exceeds the available funding, and will generate an error on the invoice.","")</f>
        <v/>
      </c>
    </row>
    <row r="29" spans="2:34" x14ac:dyDescent="0.25">
      <c r="AG29" s="59" t="s">
        <v>136</v>
      </c>
      <c r="AH29" s="59"/>
    </row>
    <row r="30" spans="2:34" ht="21" hidden="1" x14ac:dyDescent="0.35">
      <c r="S30" s="60" t="s">
        <v>138</v>
      </c>
      <c r="T30" s="89">
        <f t="array" ref="T30:AE30">luDates</f>
        <v>43739</v>
      </c>
      <c r="U30" s="89">
        <v>43770</v>
      </c>
      <c r="V30" s="89">
        <v>43800</v>
      </c>
      <c r="W30" s="89">
        <v>43831</v>
      </c>
      <c r="X30" s="89">
        <v>43862</v>
      </c>
      <c r="Y30" s="89">
        <v>43891</v>
      </c>
      <c r="Z30" s="89">
        <v>43922</v>
      </c>
      <c r="AA30" s="89">
        <v>43952</v>
      </c>
      <c r="AB30" s="89">
        <v>43983</v>
      </c>
      <c r="AC30" s="89">
        <v>44013</v>
      </c>
      <c r="AD30" s="89">
        <v>44044</v>
      </c>
      <c r="AE30" s="89">
        <v>44075</v>
      </c>
      <c r="AG30" s="141" t="s">
        <v>69</v>
      </c>
      <c r="AH30" s="141" t="s">
        <v>134</v>
      </c>
    </row>
    <row r="31" spans="2:34" hidden="1" x14ac:dyDescent="0.25"/>
    <row r="32" spans="2:34" hidden="1" x14ac:dyDescent="0.25">
      <c r="S32" s="73" t="str">
        <f t="array" ref="S32:S46">Categories</f>
        <v>Salaries</v>
      </c>
      <c r="T32" s="167">
        <f>C11-T11</f>
        <v>0</v>
      </c>
      <c r="U32" s="91">
        <f t="shared" ref="U32:AE32" si="3">D11-U11</f>
        <v>0</v>
      </c>
      <c r="V32" s="91">
        <f t="shared" si="3"/>
        <v>0</v>
      </c>
      <c r="W32" s="91">
        <f t="shared" si="3"/>
        <v>0</v>
      </c>
      <c r="X32" s="91">
        <f t="shared" si="3"/>
        <v>0</v>
      </c>
      <c r="Y32" s="91">
        <f t="shared" si="3"/>
        <v>0</v>
      </c>
      <c r="Z32" s="91">
        <f t="shared" si="3"/>
        <v>0</v>
      </c>
      <c r="AA32" s="91">
        <f t="shared" si="3"/>
        <v>0</v>
      </c>
      <c r="AB32" s="91">
        <f t="shared" si="3"/>
        <v>0</v>
      </c>
      <c r="AC32" s="91">
        <f t="shared" si="3"/>
        <v>0</v>
      </c>
      <c r="AD32" s="91">
        <f t="shared" si="3"/>
        <v>0</v>
      </c>
      <c r="AE32" s="168">
        <f t="shared" si="3"/>
        <v>0</v>
      </c>
      <c r="AG32" s="167">
        <f t="shared" ref="AG32:AG46" si="4">IF(TACA_OWNER,INDEX(T32:AE32,IndexMonth),0)</f>
        <v>0</v>
      </c>
      <c r="AH32" s="168">
        <f>IF(TACA_OWNER,SUM(T32:INDEX(T32:AE32,IndexMonth)),0)</f>
        <v>0</v>
      </c>
    </row>
    <row r="33" spans="19:34" hidden="1" x14ac:dyDescent="0.25">
      <c r="S33" s="73" t="str">
        <v>Benefits &amp; Taxes</v>
      </c>
      <c r="T33" s="167">
        <f t="shared" ref="T33:AE33" si="5">C12-T12</f>
        <v>0</v>
      </c>
      <c r="U33" s="91">
        <f t="shared" si="5"/>
        <v>0</v>
      </c>
      <c r="V33" s="91">
        <f t="shared" si="5"/>
        <v>0</v>
      </c>
      <c r="W33" s="91">
        <f t="shared" si="5"/>
        <v>0</v>
      </c>
      <c r="X33" s="91">
        <f t="shared" si="5"/>
        <v>0</v>
      </c>
      <c r="Y33" s="91">
        <f t="shared" si="5"/>
        <v>0</v>
      </c>
      <c r="Z33" s="91">
        <f t="shared" si="5"/>
        <v>0</v>
      </c>
      <c r="AA33" s="91">
        <f t="shared" si="5"/>
        <v>0</v>
      </c>
      <c r="AB33" s="91">
        <f t="shared" si="5"/>
        <v>0</v>
      </c>
      <c r="AC33" s="91">
        <f t="shared" si="5"/>
        <v>0</v>
      </c>
      <c r="AD33" s="91">
        <f t="shared" si="5"/>
        <v>0</v>
      </c>
      <c r="AE33" s="168">
        <f t="shared" si="5"/>
        <v>0</v>
      </c>
      <c r="AG33" s="167">
        <f t="shared" si="4"/>
        <v>0</v>
      </c>
      <c r="AH33" s="168">
        <f>IF(TACA_OWNER,SUM(T33:INDEX(T33:AE33,IndexMonth)),0)</f>
        <v>0</v>
      </c>
    </row>
    <row r="34" spans="19:34" hidden="1" x14ac:dyDescent="0.25">
      <c r="S34" s="73" t="str">
        <v>Professional Fee / Grant &amp; Award</v>
      </c>
      <c r="T34" s="167">
        <f t="shared" ref="T34:AE34" si="6">C13-T13</f>
        <v>0</v>
      </c>
      <c r="U34" s="91">
        <f t="shared" si="6"/>
        <v>0</v>
      </c>
      <c r="V34" s="91">
        <f t="shared" si="6"/>
        <v>0</v>
      </c>
      <c r="W34" s="91">
        <f t="shared" si="6"/>
        <v>0</v>
      </c>
      <c r="X34" s="91">
        <f t="shared" si="6"/>
        <v>0</v>
      </c>
      <c r="Y34" s="91">
        <f t="shared" si="6"/>
        <v>0</v>
      </c>
      <c r="Z34" s="91">
        <f t="shared" si="6"/>
        <v>0</v>
      </c>
      <c r="AA34" s="91">
        <f t="shared" si="6"/>
        <v>0</v>
      </c>
      <c r="AB34" s="91">
        <f t="shared" si="6"/>
        <v>0</v>
      </c>
      <c r="AC34" s="91">
        <f t="shared" si="6"/>
        <v>0</v>
      </c>
      <c r="AD34" s="91">
        <f t="shared" si="6"/>
        <v>0</v>
      </c>
      <c r="AE34" s="168">
        <f t="shared" si="6"/>
        <v>0</v>
      </c>
      <c r="AG34" s="167">
        <f t="shared" si="4"/>
        <v>0</v>
      </c>
      <c r="AH34" s="168">
        <f>IF(TACA_OWNER,SUM(T34:INDEX(T34:AE34,IndexMonth)),0)</f>
        <v>0</v>
      </c>
    </row>
    <row r="35" spans="19:34" hidden="1" x14ac:dyDescent="0.25">
      <c r="S35" s="73" t="str">
        <v>Supplies</v>
      </c>
      <c r="T35" s="167">
        <f t="shared" ref="T35:AE35" si="7">C14-T14</f>
        <v>0</v>
      </c>
      <c r="U35" s="91">
        <f t="shared" si="7"/>
        <v>0</v>
      </c>
      <c r="V35" s="91">
        <f t="shared" si="7"/>
        <v>0</v>
      </c>
      <c r="W35" s="91">
        <f t="shared" si="7"/>
        <v>0</v>
      </c>
      <c r="X35" s="91">
        <f t="shared" si="7"/>
        <v>0</v>
      </c>
      <c r="Y35" s="91">
        <f t="shared" si="7"/>
        <v>0</v>
      </c>
      <c r="Z35" s="91">
        <f t="shared" si="7"/>
        <v>0</v>
      </c>
      <c r="AA35" s="91">
        <f t="shared" si="7"/>
        <v>0</v>
      </c>
      <c r="AB35" s="91">
        <f t="shared" si="7"/>
        <v>0</v>
      </c>
      <c r="AC35" s="91">
        <f t="shared" si="7"/>
        <v>0</v>
      </c>
      <c r="AD35" s="91">
        <f t="shared" si="7"/>
        <v>0</v>
      </c>
      <c r="AE35" s="168">
        <f t="shared" si="7"/>
        <v>0</v>
      </c>
      <c r="AG35" s="167">
        <f t="shared" si="4"/>
        <v>0</v>
      </c>
      <c r="AH35" s="168">
        <f>IF(TACA_OWNER,SUM(T35:INDEX(T35:AE35,IndexMonth)),0)</f>
        <v>0</v>
      </c>
    </row>
    <row r="36" spans="19:34" hidden="1" x14ac:dyDescent="0.25">
      <c r="S36" s="73" t="str">
        <v>Telephone</v>
      </c>
      <c r="T36" s="167">
        <f t="shared" ref="T36:AE36" si="8">C15-T15</f>
        <v>0</v>
      </c>
      <c r="U36" s="91">
        <f t="shared" si="8"/>
        <v>0</v>
      </c>
      <c r="V36" s="91">
        <f t="shared" si="8"/>
        <v>0</v>
      </c>
      <c r="W36" s="91">
        <f t="shared" si="8"/>
        <v>0</v>
      </c>
      <c r="X36" s="91">
        <f t="shared" si="8"/>
        <v>0</v>
      </c>
      <c r="Y36" s="91">
        <f t="shared" si="8"/>
        <v>0</v>
      </c>
      <c r="Z36" s="91">
        <f t="shared" si="8"/>
        <v>0</v>
      </c>
      <c r="AA36" s="91">
        <f t="shared" si="8"/>
        <v>0</v>
      </c>
      <c r="AB36" s="91">
        <f t="shared" si="8"/>
        <v>0</v>
      </c>
      <c r="AC36" s="91">
        <f t="shared" si="8"/>
        <v>0</v>
      </c>
      <c r="AD36" s="91">
        <f t="shared" si="8"/>
        <v>0</v>
      </c>
      <c r="AE36" s="168">
        <f t="shared" si="8"/>
        <v>0</v>
      </c>
      <c r="AG36" s="167">
        <f t="shared" si="4"/>
        <v>0</v>
      </c>
      <c r="AH36" s="168">
        <f>IF(TACA_OWNER,SUM(T36:INDEX(T36:AE36,IndexMonth)),0)</f>
        <v>0</v>
      </c>
    </row>
    <row r="37" spans="19:34" hidden="1" x14ac:dyDescent="0.25">
      <c r="S37" s="73" t="str">
        <v>Postage &amp; Shipping</v>
      </c>
      <c r="T37" s="167">
        <f t="shared" ref="T37:AE37" si="9">C16-T16</f>
        <v>0</v>
      </c>
      <c r="U37" s="91">
        <f t="shared" si="9"/>
        <v>0</v>
      </c>
      <c r="V37" s="91">
        <f t="shared" si="9"/>
        <v>0</v>
      </c>
      <c r="W37" s="91">
        <f t="shared" si="9"/>
        <v>0</v>
      </c>
      <c r="X37" s="91">
        <f t="shared" si="9"/>
        <v>0</v>
      </c>
      <c r="Y37" s="91">
        <f t="shared" si="9"/>
        <v>0</v>
      </c>
      <c r="Z37" s="91">
        <f t="shared" si="9"/>
        <v>0</v>
      </c>
      <c r="AA37" s="91">
        <f t="shared" si="9"/>
        <v>0</v>
      </c>
      <c r="AB37" s="91">
        <f t="shared" si="9"/>
        <v>0</v>
      </c>
      <c r="AC37" s="91">
        <f t="shared" si="9"/>
        <v>0</v>
      </c>
      <c r="AD37" s="91">
        <f t="shared" si="9"/>
        <v>0</v>
      </c>
      <c r="AE37" s="168">
        <f t="shared" si="9"/>
        <v>0</v>
      </c>
      <c r="AG37" s="167">
        <f t="shared" si="4"/>
        <v>0</v>
      </c>
      <c r="AH37" s="168">
        <f>IF(TACA_OWNER,SUM(T37:INDEX(T37:AE37,IndexMonth)),0)</f>
        <v>0</v>
      </c>
    </row>
    <row r="38" spans="19:34" hidden="1" x14ac:dyDescent="0.25">
      <c r="S38" s="73" t="str">
        <v>Occupancy</v>
      </c>
      <c r="T38" s="167">
        <f t="shared" ref="T38:AE38" si="10">C17-T17</f>
        <v>0</v>
      </c>
      <c r="U38" s="91">
        <f t="shared" si="10"/>
        <v>0</v>
      </c>
      <c r="V38" s="91">
        <f t="shared" si="10"/>
        <v>0</v>
      </c>
      <c r="W38" s="91">
        <f t="shared" si="10"/>
        <v>0</v>
      </c>
      <c r="X38" s="91">
        <f t="shared" si="10"/>
        <v>0</v>
      </c>
      <c r="Y38" s="91">
        <f t="shared" si="10"/>
        <v>0</v>
      </c>
      <c r="Z38" s="91">
        <f t="shared" si="10"/>
        <v>0</v>
      </c>
      <c r="AA38" s="91">
        <f t="shared" si="10"/>
        <v>0</v>
      </c>
      <c r="AB38" s="91">
        <f t="shared" si="10"/>
        <v>0</v>
      </c>
      <c r="AC38" s="91">
        <f t="shared" si="10"/>
        <v>0</v>
      </c>
      <c r="AD38" s="91">
        <f t="shared" si="10"/>
        <v>0</v>
      </c>
      <c r="AE38" s="168">
        <f t="shared" si="10"/>
        <v>0</v>
      </c>
      <c r="AG38" s="167">
        <f t="shared" si="4"/>
        <v>0</v>
      </c>
      <c r="AH38" s="168">
        <f>IF(TACA_OWNER,SUM(T38:INDEX(T38:AE38,IndexMonth)),0)</f>
        <v>0</v>
      </c>
    </row>
    <row r="39" spans="19:34" hidden="1" x14ac:dyDescent="0.25">
      <c r="S39" s="73" t="str">
        <v>Equipment Rental &amp; Maintenance</v>
      </c>
      <c r="T39" s="167">
        <f t="shared" ref="T39:AE39" si="11">C18-T18</f>
        <v>0</v>
      </c>
      <c r="U39" s="91">
        <f t="shared" si="11"/>
        <v>0</v>
      </c>
      <c r="V39" s="91">
        <f t="shared" si="11"/>
        <v>0</v>
      </c>
      <c r="W39" s="91">
        <f t="shared" si="11"/>
        <v>0</v>
      </c>
      <c r="X39" s="91">
        <f t="shared" si="11"/>
        <v>0</v>
      </c>
      <c r="Y39" s="91">
        <f t="shared" si="11"/>
        <v>0</v>
      </c>
      <c r="Z39" s="91">
        <f t="shared" si="11"/>
        <v>0</v>
      </c>
      <c r="AA39" s="91">
        <f t="shared" si="11"/>
        <v>0</v>
      </c>
      <c r="AB39" s="91">
        <f t="shared" si="11"/>
        <v>0</v>
      </c>
      <c r="AC39" s="91">
        <f t="shared" si="11"/>
        <v>0</v>
      </c>
      <c r="AD39" s="91">
        <f t="shared" si="11"/>
        <v>0</v>
      </c>
      <c r="AE39" s="168">
        <f t="shared" si="11"/>
        <v>0</v>
      </c>
      <c r="AG39" s="167">
        <f t="shared" si="4"/>
        <v>0</v>
      </c>
      <c r="AH39" s="168">
        <f>IF(TACA_OWNER,SUM(T39:INDEX(T39:AE39,IndexMonth)),0)</f>
        <v>0</v>
      </c>
    </row>
    <row r="40" spans="19:34" hidden="1" x14ac:dyDescent="0.25">
      <c r="S40" s="73" t="str">
        <v>Printing &amp; Publications</v>
      </c>
      <c r="T40" s="167">
        <f t="shared" ref="T40:AE40" si="12">C19-T19</f>
        <v>0</v>
      </c>
      <c r="U40" s="91">
        <f t="shared" si="12"/>
        <v>0</v>
      </c>
      <c r="V40" s="91">
        <f t="shared" si="12"/>
        <v>0</v>
      </c>
      <c r="W40" s="91">
        <f t="shared" si="12"/>
        <v>0</v>
      </c>
      <c r="X40" s="91">
        <f t="shared" si="12"/>
        <v>0</v>
      </c>
      <c r="Y40" s="91">
        <f t="shared" si="12"/>
        <v>0</v>
      </c>
      <c r="Z40" s="91">
        <f t="shared" si="12"/>
        <v>0</v>
      </c>
      <c r="AA40" s="91">
        <f t="shared" si="12"/>
        <v>0</v>
      </c>
      <c r="AB40" s="91">
        <f t="shared" si="12"/>
        <v>0</v>
      </c>
      <c r="AC40" s="91">
        <f t="shared" si="12"/>
        <v>0</v>
      </c>
      <c r="AD40" s="91">
        <f t="shared" si="12"/>
        <v>0</v>
      </c>
      <c r="AE40" s="168">
        <f t="shared" si="12"/>
        <v>0</v>
      </c>
      <c r="AG40" s="167">
        <f t="shared" si="4"/>
        <v>0</v>
      </c>
      <c r="AH40" s="168">
        <f>IF(TACA_OWNER,SUM(T40:INDEX(T40:AE40,IndexMonth)),0)</f>
        <v>0</v>
      </c>
    </row>
    <row r="41" spans="19:34" hidden="1" x14ac:dyDescent="0.25">
      <c r="S41" s="73" t="str">
        <v>Travel / Conferences &amp; Meetings</v>
      </c>
      <c r="T41" s="167">
        <f t="shared" ref="T41:AE41" si="13">C20-T20</f>
        <v>0</v>
      </c>
      <c r="U41" s="91">
        <f t="shared" si="13"/>
        <v>0</v>
      </c>
      <c r="V41" s="91">
        <f t="shared" si="13"/>
        <v>0</v>
      </c>
      <c r="W41" s="91">
        <f t="shared" si="13"/>
        <v>0</v>
      </c>
      <c r="X41" s="91">
        <f t="shared" si="13"/>
        <v>0</v>
      </c>
      <c r="Y41" s="91">
        <f t="shared" si="13"/>
        <v>0</v>
      </c>
      <c r="Z41" s="91">
        <f t="shared" si="13"/>
        <v>0</v>
      </c>
      <c r="AA41" s="91">
        <f t="shared" si="13"/>
        <v>0</v>
      </c>
      <c r="AB41" s="91">
        <f t="shared" si="13"/>
        <v>0</v>
      </c>
      <c r="AC41" s="91">
        <f t="shared" si="13"/>
        <v>0</v>
      </c>
      <c r="AD41" s="91">
        <f t="shared" si="13"/>
        <v>0</v>
      </c>
      <c r="AE41" s="168">
        <f t="shared" si="13"/>
        <v>0</v>
      </c>
      <c r="AG41" s="167">
        <f t="shared" si="4"/>
        <v>0</v>
      </c>
      <c r="AH41" s="168">
        <f>IF(TACA_OWNER,SUM(T41:INDEX(T41:AE41,IndexMonth)),0)</f>
        <v>0</v>
      </c>
    </row>
    <row r="42" spans="19:34" hidden="1" x14ac:dyDescent="0.25">
      <c r="S42" s="73" t="str">
        <v>Insurance</v>
      </c>
      <c r="T42" s="167">
        <f t="shared" ref="T42:AE42" si="14">C21-T21</f>
        <v>0</v>
      </c>
      <c r="U42" s="91">
        <f t="shared" si="14"/>
        <v>0</v>
      </c>
      <c r="V42" s="91">
        <f t="shared" si="14"/>
        <v>0</v>
      </c>
      <c r="W42" s="91">
        <f t="shared" si="14"/>
        <v>0</v>
      </c>
      <c r="X42" s="91">
        <f t="shared" si="14"/>
        <v>0</v>
      </c>
      <c r="Y42" s="91">
        <f t="shared" si="14"/>
        <v>0</v>
      </c>
      <c r="Z42" s="91">
        <f t="shared" si="14"/>
        <v>0</v>
      </c>
      <c r="AA42" s="91">
        <f t="shared" si="14"/>
        <v>0</v>
      </c>
      <c r="AB42" s="91">
        <f t="shared" si="14"/>
        <v>0</v>
      </c>
      <c r="AC42" s="91">
        <f t="shared" si="14"/>
        <v>0</v>
      </c>
      <c r="AD42" s="91">
        <f t="shared" si="14"/>
        <v>0</v>
      </c>
      <c r="AE42" s="168">
        <f t="shared" si="14"/>
        <v>0</v>
      </c>
      <c r="AG42" s="167">
        <f t="shared" si="4"/>
        <v>0</v>
      </c>
      <c r="AH42" s="168">
        <f>IF(TACA_OWNER,SUM(T42:INDEX(T42:AE42,IndexMonth)),0)</f>
        <v>0</v>
      </c>
    </row>
    <row r="43" spans="19:34" hidden="1" x14ac:dyDescent="0.25">
      <c r="S43" s="73" t="str">
        <v>Specific Assistance to Individuals</v>
      </c>
      <c r="T43" s="167">
        <f t="shared" ref="T43:AE43" si="15">C22-T22</f>
        <v>0</v>
      </c>
      <c r="U43" s="91">
        <f t="shared" si="15"/>
        <v>0</v>
      </c>
      <c r="V43" s="91">
        <f t="shared" si="15"/>
        <v>0</v>
      </c>
      <c r="W43" s="91">
        <f t="shared" si="15"/>
        <v>0</v>
      </c>
      <c r="X43" s="91">
        <f t="shared" si="15"/>
        <v>0</v>
      </c>
      <c r="Y43" s="91">
        <f t="shared" si="15"/>
        <v>0</v>
      </c>
      <c r="Z43" s="91">
        <f t="shared" si="15"/>
        <v>0</v>
      </c>
      <c r="AA43" s="91">
        <f t="shared" si="15"/>
        <v>0</v>
      </c>
      <c r="AB43" s="91">
        <f t="shared" si="15"/>
        <v>0</v>
      </c>
      <c r="AC43" s="91">
        <f t="shared" si="15"/>
        <v>0</v>
      </c>
      <c r="AD43" s="91">
        <f t="shared" si="15"/>
        <v>0</v>
      </c>
      <c r="AE43" s="168">
        <f t="shared" si="15"/>
        <v>0</v>
      </c>
      <c r="AG43" s="167">
        <f t="shared" si="4"/>
        <v>0</v>
      </c>
      <c r="AH43" s="168">
        <f>IF(TACA_OWNER,SUM(T43:INDEX(T43:AE43,IndexMonth)),0)</f>
        <v>0</v>
      </c>
    </row>
    <row r="44" spans="19:34" hidden="1" x14ac:dyDescent="0.25">
      <c r="S44" s="73" t="str">
        <v>Depreciation</v>
      </c>
      <c r="T44" s="167">
        <f t="shared" ref="T44:AE44" si="16">C23-T23</f>
        <v>0</v>
      </c>
      <c r="U44" s="91">
        <f t="shared" si="16"/>
        <v>0</v>
      </c>
      <c r="V44" s="91">
        <f t="shared" si="16"/>
        <v>0</v>
      </c>
      <c r="W44" s="91">
        <f t="shared" si="16"/>
        <v>0</v>
      </c>
      <c r="X44" s="91">
        <f t="shared" si="16"/>
        <v>0</v>
      </c>
      <c r="Y44" s="91">
        <f t="shared" si="16"/>
        <v>0</v>
      </c>
      <c r="Z44" s="91">
        <f t="shared" si="16"/>
        <v>0</v>
      </c>
      <c r="AA44" s="91">
        <f t="shared" si="16"/>
        <v>0</v>
      </c>
      <c r="AB44" s="91">
        <f t="shared" si="16"/>
        <v>0</v>
      </c>
      <c r="AC44" s="91">
        <f t="shared" si="16"/>
        <v>0</v>
      </c>
      <c r="AD44" s="91">
        <f t="shared" si="16"/>
        <v>0</v>
      </c>
      <c r="AE44" s="168">
        <f t="shared" si="16"/>
        <v>0</v>
      </c>
      <c r="AG44" s="167">
        <f t="shared" si="4"/>
        <v>0</v>
      </c>
      <c r="AH44" s="168">
        <f>IF(TACA_OWNER,SUM(T44:INDEX(T44:AE44,IndexMonth)),0)</f>
        <v>0</v>
      </c>
    </row>
    <row r="45" spans="19:34" hidden="1" x14ac:dyDescent="0.25">
      <c r="S45" s="73" t="str">
        <v>Other Non_Personnel</v>
      </c>
      <c r="T45" s="167">
        <f t="shared" ref="T45:AE45" si="17">C24-T24</f>
        <v>0</v>
      </c>
      <c r="U45" s="91">
        <f t="shared" si="17"/>
        <v>0</v>
      </c>
      <c r="V45" s="91">
        <f t="shared" si="17"/>
        <v>0</v>
      </c>
      <c r="W45" s="91">
        <f t="shared" si="17"/>
        <v>0</v>
      </c>
      <c r="X45" s="91">
        <f t="shared" si="17"/>
        <v>0</v>
      </c>
      <c r="Y45" s="91">
        <f t="shared" si="17"/>
        <v>0</v>
      </c>
      <c r="Z45" s="91">
        <f t="shared" si="17"/>
        <v>0</v>
      </c>
      <c r="AA45" s="91">
        <f t="shared" si="17"/>
        <v>0</v>
      </c>
      <c r="AB45" s="91">
        <f t="shared" si="17"/>
        <v>0</v>
      </c>
      <c r="AC45" s="91">
        <f t="shared" si="17"/>
        <v>0</v>
      </c>
      <c r="AD45" s="91">
        <f t="shared" si="17"/>
        <v>0</v>
      </c>
      <c r="AE45" s="168">
        <f t="shared" si="17"/>
        <v>0</v>
      </c>
      <c r="AG45" s="167">
        <f t="shared" si="4"/>
        <v>0</v>
      </c>
      <c r="AH45" s="168">
        <f>IF(TACA_OWNER,SUM(T45:INDEX(T45:AE45,IndexMonth)),0)</f>
        <v>0</v>
      </c>
    </row>
    <row r="46" spans="19:34" hidden="1" x14ac:dyDescent="0.25">
      <c r="S46" s="73" t="str">
        <v>Indirect Cost / Adm. Exp. / M&amp;G</v>
      </c>
      <c r="T46" s="167">
        <f t="shared" ref="T46:AE46" si="18">C25-T25</f>
        <v>0</v>
      </c>
      <c r="U46" s="91">
        <f t="shared" si="18"/>
        <v>0</v>
      </c>
      <c r="V46" s="91">
        <f t="shared" si="18"/>
        <v>0</v>
      </c>
      <c r="W46" s="91">
        <f t="shared" si="18"/>
        <v>0</v>
      </c>
      <c r="X46" s="91">
        <f t="shared" si="18"/>
        <v>0</v>
      </c>
      <c r="Y46" s="91">
        <f t="shared" si="18"/>
        <v>0</v>
      </c>
      <c r="Z46" s="91">
        <f t="shared" si="18"/>
        <v>0</v>
      </c>
      <c r="AA46" s="91">
        <f t="shared" si="18"/>
        <v>0</v>
      </c>
      <c r="AB46" s="91">
        <f t="shared" si="18"/>
        <v>0</v>
      </c>
      <c r="AC46" s="91">
        <f t="shared" si="18"/>
        <v>0</v>
      </c>
      <c r="AD46" s="91">
        <f t="shared" si="18"/>
        <v>0</v>
      </c>
      <c r="AE46" s="168">
        <f t="shared" si="18"/>
        <v>0</v>
      </c>
      <c r="AG46" s="167">
        <f t="shared" si="4"/>
        <v>0</v>
      </c>
      <c r="AH46" s="168">
        <f>IF(TACA_OWNER,SUM(T46:INDEX(T46:AE46,IndexMonth)),0)</f>
        <v>0</v>
      </c>
    </row>
    <row r="47" spans="19:34" hidden="1" x14ac:dyDescent="0.25">
      <c r="S47" s="97" t="s">
        <v>137</v>
      </c>
      <c r="T47" s="88">
        <f>SUM(T32:T46)</f>
        <v>0</v>
      </c>
      <c r="U47" s="88">
        <f t="shared" ref="U47" si="19">SUM(U32:U46)</f>
        <v>0</v>
      </c>
      <c r="V47" s="88">
        <f t="shared" ref="V47" si="20">SUM(V32:V46)</f>
        <v>0</v>
      </c>
      <c r="W47" s="88">
        <f t="shared" ref="W47" si="21">SUM(W32:W46)</f>
        <v>0</v>
      </c>
      <c r="X47" s="88">
        <f t="shared" ref="X47" si="22">SUM(X32:X46)</f>
        <v>0</v>
      </c>
      <c r="Y47" s="88">
        <f t="shared" ref="Y47" si="23">SUM(Y32:Y46)</f>
        <v>0</v>
      </c>
      <c r="Z47" s="88">
        <f t="shared" ref="Z47" si="24">SUM(Z32:Z46)</f>
        <v>0</v>
      </c>
      <c r="AA47" s="88">
        <f t="shared" ref="AA47" si="25">SUM(AA32:AA46)</f>
        <v>0</v>
      </c>
      <c r="AB47" s="88">
        <f t="shared" ref="AB47" si="26">SUM(AB32:AB46)</f>
        <v>0</v>
      </c>
      <c r="AC47" s="88">
        <f t="shared" ref="AC47" si="27">SUM(AC32:AC46)</f>
        <v>0</v>
      </c>
      <c r="AD47" s="88">
        <f t="shared" ref="AD47" si="28">SUM(AD32:AD46)</f>
        <v>0</v>
      </c>
      <c r="AE47" s="88">
        <f t="shared" ref="AE47" si="29">SUM(AE32:AE46)</f>
        <v>0</v>
      </c>
      <c r="AG47" s="94">
        <f>SUM(AG32:AG46)</f>
        <v>0</v>
      </c>
      <c r="AH47" s="94">
        <f>SUM(AH32:AH46)</f>
        <v>0</v>
      </c>
    </row>
  </sheetData>
  <sheetProtection algorithmName="SHA-512" hashValue="Fmoj5iuDw6Yy3PspH1FP+CqrUkXpZQGE7HVdbyAPS5KzrZ58z7QxH1DgBr8jCFaGlvc4nKd3cm42MjvgmKTihQ==" saltValue="Q5CuYB6AkZQM8oZReaYLqQ==" spinCount="100000" sheet="1" objects="1" scenarios="1"/>
  <mergeCells count="1">
    <mergeCell ref="C6:K8"/>
  </mergeCells>
  <conditionalFormatting sqref="C11:N25">
    <cfRule type="expression" dxfId="6" priority="6">
      <formula>C$9&gt;InvoiceMonth</formula>
    </cfRule>
    <cfRule type="expression" dxfId="5" priority="7">
      <formula>C$9&lt;InvoiceMonth</formula>
    </cfRule>
  </conditionalFormatting>
  <conditionalFormatting sqref="C5:K5 N5 P5 C11:P25">
    <cfRule type="expression" dxfId="4" priority="3" stopIfTrue="1">
      <formula>TACA_OWNER&lt;&gt;TRUE</formula>
    </cfRule>
  </conditionalFormatting>
  <conditionalFormatting sqref="C6:K8">
    <cfRule type="expression" dxfId="3" priority="2">
      <formula>TACA_OWNER=FALSE</formula>
    </cfRule>
  </conditionalFormatting>
  <conditionalFormatting sqref="C26:P26">
    <cfRule type="expression" dxfId="2" priority="1">
      <formula>TACA_OWNER&lt;&gt;TRUE</formula>
    </cfRule>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E246E-CED6-48EC-87CD-AA2A4E9F0F77}">
  <sheetPr codeName="Sheet15">
    <pageSetUpPr fitToPage="1"/>
  </sheetPr>
  <dimension ref="A1:J113"/>
  <sheetViews>
    <sheetView showGridLines="0" workbookViewId="0">
      <selection activeCell="B12" sqref="B12"/>
    </sheetView>
  </sheetViews>
  <sheetFormatPr defaultColWidth="0" defaultRowHeight="15" zeroHeight="1" x14ac:dyDescent="0.25"/>
  <cols>
    <col min="1" max="1" width="1.42578125" style="12" customWidth="1"/>
    <col min="2" max="2" width="15.7109375" style="12" bestFit="1" customWidth="1"/>
    <col min="3" max="3" width="18.140625" style="12" bestFit="1" customWidth="1"/>
    <col min="4" max="4" width="9.140625" style="12" bestFit="1" customWidth="1"/>
    <col min="5" max="8" width="14.28515625" style="12" customWidth="1"/>
    <col min="9" max="9" width="9.140625" style="12" customWidth="1"/>
    <col min="10" max="10" width="1.42578125" style="12" customWidth="1"/>
    <col min="11" max="16384" width="9.140625" style="12" hidden="1"/>
  </cols>
  <sheetData>
    <row r="1" spans="2:9" ht="23.25" x14ac:dyDescent="0.35">
      <c r="B1" s="58" t="s">
        <v>114</v>
      </c>
      <c r="C1" s="59"/>
      <c r="D1" s="59"/>
      <c r="E1" s="59"/>
      <c r="F1" s="59"/>
      <c r="G1" s="59"/>
      <c r="H1" s="59"/>
      <c r="I1" s="59"/>
    </row>
    <row r="2" spans="2:9" x14ac:dyDescent="0.25"/>
    <row r="3" spans="2:9" x14ac:dyDescent="0.25">
      <c r="B3" s="90" t="s">
        <v>115</v>
      </c>
      <c r="C3" s="12" t="str">
        <f>setup!C11</f>
        <v>Sample Grantee</v>
      </c>
      <c r="G3" s="97" t="s">
        <v>117</v>
      </c>
      <c r="I3" s="137" t="str">
        <f>TEXT(DATE(FFY-1,10,1),"mm/dd/yyyy")&amp;" - "&amp;TEXT(DATE(FFY+1,10,0),"mm/dd/yyyy")</f>
        <v>10/01/2019 - 09/30/2021</v>
      </c>
    </row>
    <row r="4" spans="2:9" x14ac:dyDescent="0.25">
      <c r="B4" s="90" t="s">
        <v>116</v>
      </c>
      <c r="C4" s="12" t="str">
        <f>ContractType</f>
        <v>CSGB</v>
      </c>
    </row>
    <row r="5" spans="2:9" x14ac:dyDescent="0.25"/>
    <row r="6" spans="2:9" x14ac:dyDescent="0.25">
      <c r="C6" s="138" t="s">
        <v>108</v>
      </c>
      <c r="D6" s="139" t="s">
        <v>112</v>
      </c>
      <c r="E6" s="139" t="s">
        <v>26</v>
      </c>
      <c r="F6" s="139" t="s">
        <v>110</v>
      </c>
      <c r="G6" s="139" t="s">
        <v>111</v>
      </c>
      <c r="H6" s="139" t="s">
        <v>113</v>
      </c>
      <c r="I6" s="140" t="s">
        <v>109</v>
      </c>
    </row>
    <row r="7" spans="2:9" x14ac:dyDescent="0.25">
      <c r="B7" s="141" t="s">
        <v>119</v>
      </c>
      <c r="C7" s="142">
        <v>37.5</v>
      </c>
      <c r="D7" s="143">
        <f>COUNTIF($D12:$D112,$C7)</f>
        <v>0</v>
      </c>
      <c r="E7" s="144">
        <f>SUMIF($D12:$D112,$C7,E12:E112)</f>
        <v>0</v>
      </c>
      <c r="F7" s="145">
        <f>SUMIF($D12:$D112,$C7,F12:F112)</f>
        <v>0</v>
      </c>
      <c r="G7" s="145">
        <f>SUMIF($D12:$D112,$C7,G12:G112)</f>
        <v>0</v>
      </c>
      <c r="H7" s="144">
        <f>SUMIF($D12:$D112,$C7,H12:H112)</f>
        <v>0</v>
      </c>
      <c r="I7" s="146">
        <f>SUMIF($D12:$D112,$C7,I12:I112)</f>
        <v>0</v>
      </c>
    </row>
    <row r="8" spans="2:9" x14ac:dyDescent="0.25">
      <c r="B8" s="141" t="s">
        <v>118</v>
      </c>
      <c r="C8" s="147">
        <v>40</v>
      </c>
      <c r="D8" s="148">
        <f>COUNTIF($D12:$D112,$C8)</f>
        <v>0</v>
      </c>
      <c r="E8" s="149">
        <f>SUMIF($D12:$D112,$C8,E12:E112)</f>
        <v>0</v>
      </c>
      <c r="F8" s="150">
        <f>SUMIF($D12:$D112,$C8,F12:F112)</f>
        <v>0</v>
      </c>
      <c r="G8" s="150">
        <f>SUMIF($D12:$D112,$C8,G12:G112)</f>
        <v>0</v>
      </c>
      <c r="H8" s="149">
        <f>SUMIF($D12:$D112,$C8,H12:H112)</f>
        <v>0</v>
      </c>
      <c r="I8" s="151">
        <f>SUMIF($D12:$D112,$C8,I12:I112)</f>
        <v>0</v>
      </c>
    </row>
    <row r="9" spans="2:9" x14ac:dyDescent="0.25">
      <c r="C9" s="152" t="s">
        <v>51</v>
      </c>
      <c r="D9" s="153">
        <f>SUM(D7:D8)</f>
        <v>0</v>
      </c>
      <c r="E9" s="154">
        <f t="shared" ref="E9:I9" si="0">SUM(E7:E8)</f>
        <v>0</v>
      </c>
      <c r="F9" s="155">
        <f t="shared" si="0"/>
        <v>0</v>
      </c>
      <c r="G9" s="155">
        <f t="shared" si="0"/>
        <v>0</v>
      </c>
      <c r="H9" s="154">
        <f t="shared" si="0"/>
        <v>0</v>
      </c>
      <c r="I9" s="156">
        <f t="shared" si="0"/>
        <v>0</v>
      </c>
    </row>
    <row r="10" spans="2:9" x14ac:dyDescent="0.25"/>
    <row r="11" spans="2:9" ht="60" x14ac:dyDescent="0.25">
      <c r="B11" s="157" t="s">
        <v>101</v>
      </c>
      <c r="C11" s="158" t="s">
        <v>102</v>
      </c>
      <c r="D11" s="159" t="s">
        <v>108</v>
      </c>
      <c r="E11" s="159" t="s">
        <v>103</v>
      </c>
      <c r="F11" s="160" t="s">
        <v>104</v>
      </c>
      <c r="G11" s="160" t="s">
        <v>105</v>
      </c>
      <c r="H11" s="160" t="s">
        <v>106</v>
      </c>
      <c r="I11" s="161" t="s">
        <v>107</v>
      </c>
    </row>
    <row r="12" spans="2:9" x14ac:dyDescent="0.25">
      <c r="B12" s="164"/>
      <c r="C12" s="165"/>
      <c r="D12" s="166"/>
      <c r="E12" s="99"/>
      <c r="F12" s="166"/>
      <c r="G12" s="166"/>
      <c r="H12" s="91">
        <f>ROUND(IFERROR(E12*G12/F12,0),2)</f>
        <v>0</v>
      </c>
      <c r="I12" s="162">
        <f>IFERROR(G12/D12,0)</f>
        <v>0</v>
      </c>
    </row>
    <row r="13" spans="2:9" x14ac:dyDescent="0.25">
      <c r="B13" s="164"/>
      <c r="C13" s="165"/>
      <c r="D13" s="166"/>
      <c r="E13" s="99"/>
      <c r="F13" s="166"/>
      <c r="G13" s="166"/>
      <c r="H13" s="91">
        <f t="shared" ref="H13:H76" si="1">ROUND(IFERROR(E13*G13/F13,0),2)</f>
        <v>0</v>
      </c>
      <c r="I13" s="163">
        <f t="shared" ref="I13:I76" si="2">IFERROR(G13/D13,0)</f>
        <v>0</v>
      </c>
    </row>
    <row r="14" spans="2:9" x14ac:dyDescent="0.25">
      <c r="B14" s="164"/>
      <c r="C14" s="165"/>
      <c r="D14" s="166"/>
      <c r="E14" s="99"/>
      <c r="F14" s="166"/>
      <c r="G14" s="166"/>
      <c r="H14" s="91">
        <f t="shared" si="1"/>
        <v>0</v>
      </c>
      <c r="I14" s="163">
        <f t="shared" si="2"/>
        <v>0</v>
      </c>
    </row>
    <row r="15" spans="2:9" x14ac:dyDescent="0.25">
      <c r="B15" s="164"/>
      <c r="C15" s="165"/>
      <c r="D15" s="166"/>
      <c r="E15" s="99"/>
      <c r="F15" s="166"/>
      <c r="G15" s="166"/>
      <c r="H15" s="91">
        <f t="shared" si="1"/>
        <v>0</v>
      </c>
      <c r="I15" s="163">
        <f t="shared" si="2"/>
        <v>0</v>
      </c>
    </row>
    <row r="16" spans="2:9" x14ac:dyDescent="0.25">
      <c r="B16" s="164"/>
      <c r="C16" s="165"/>
      <c r="D16" s="166"/>
      <c r="E16" s="99"/>
      <c r="F16" s="166"/>
      <c r="G16" s="166"/>
      <c r="H16" s="91">
        <f t="shared" si="1"/>
        <v>0</v>
      </c>
      <c r="I16" s="163">
        <f t="shared" si="2"/>
        <v>0</v>
      </c>
    </row>
    <row r="17" spans="2:9" x14ac:dyDescent="0.25">
      <c r="B17" s="164"/>
      <c r="C17" s="165"/>
      <c r="D17" s="166"/>
      <c r="E17" s="99"/>
      <c r="F17" s="166"/>
      <c r="G17" s="166"/>
      <c r="H17" s="91">
        <f t="shared" si="1"/>
        <v>0</v>
      </c>
      <c r="I17" s="163">
        <f t="shared" si="2"/>
        <v>0</v>
      </c>
    </row>
    <row r="18" spans="2:9" x14ac:dyDescent="0.25">
      <c r="B18" s="164"/>
      <c r="C18" s="165"/>
      <c r="D18" s="166"/>
      <c r="E18" s="99"/>
      <c r="F18" s="166"/>
      <c r="G18" s="166"/>
      <c r="H18" s="91">
        <f t="shared" si="1"/>
        <v>0</v>
      </c>
      <c r="I18" s="163">
        <f t="shared" si="2"/>
        <v>0</v>
      </c>
    </row>
    <row r="19" spans="2:9" x14ac:dyDescent="0.25">
      <c r="B19" s="164"/>
      <c r="C19" s="165"/>
      <c r="D19" s="166"/>
      <c r="E19" s="99"/>
      <c r="F19" s="166"/>
      <c r="G19" s="166"/>
      <c r="H19" s="91">
        <f t="shared" si="1"/>
        <v>0</v>
      </c>
      <c r="I19" s="163">
        <f t="shared" si="2"/>
        <v>0</v>
      </c>
    </row>
    <row r="20" spans="2:9" x14ac:dyDescent="0.25">
      <c r="B20" s="164"/>
      <c r="C20" s="165"/>
      <c r="D20" s="166"/>
      <c r="E20" s="99"/>
      <c r="F20" s="166"/>
      <c r="G20" s="166"/>
      <c r="H20" s="91">
        <f t="shared" si="1"/>
        <v>0</v>
      </c>
      <c r="I20" s="163">
        <f t="shared" si="2"/>
        <v>0</v>
      </c>
    </row>
    <row r="21" spans="2:9" x14ac:dyDescent="0.25">
      <c r="B21" s="164"/>
      <c r="C21" s="165"/>
      <c r="D21" s="166"/>
      <c r="E21" s="99"/>
      <c r="F21" s="166"/>
      <c r="G21" s="166"/>
      <c r="H21" s="91">
        <f t="shared" si="1"/>
        <v>0</v>
      </c>
      <c r="I21" s="163">
        <f t="shared" si="2"/>
        <v>0</v>
      </c>
    </row>
    <row r="22" spans="2:9" x14ac:dyDescent="0.25">
      <c r="B22" s="164"/>
      <c r="C22" s="165"/>
      <c r="D22" s="166"/>
      <c r="E22" s="99"/>
      <c r="F22" s="166"/>
      <c r="G22" s="166"/>
      <c r="H22" s="91">
        <f t="shared" si="1"/>
        <v>0</v>
      </c>
      <c r="I22" s="163">
        <f t="shared" si="2"/>
        <v>0</v>
      </c>
    </row>
    <row r="23" spans="2:9" x14ac:dyDescent="0.25">
      <c r="B23" s="164"/>
      <c r="C23" s="165"/>
      <c r="D23" s="166"/>
      <c r="E23" s="99"/>
      <c r="F23" s="166"/>
      <c r="G23" s="166"/>
      <c r="H23" s="91">
        <f t="shared" si="1"/>
        <v>0</v>
      </c>
      <c r="I23" s="163">
        <f t="shared" si="2"/>
        <v>0</v>
      </c>
    </row>
    <row r="24" spans="2:9" x14ac:dyDescent="0.25">
      <c r="B24" s="164"/>
      <c r="C24" s="165"/>
      <c r="D24" s="166"/>
      <c r="E24" s="99"/>
      <c r="F24" s="166"/>
      <c r="G24" s="166"/>
      <c r="H24" s="91">
        <f t="shared" si="1"/>
        <v>0</v>
      </c>
      <c r="I24" s="163">
        <f t="shared" si="2"/>
        <v>0</v>
      </c>
    </row>
    <row r="25" spans="2:9" x14ac:dyDescent="0.25">
      <c r="B25" s="164"/>
      <c r="C25" s="165"/>
      <c r="D25" s="166"/>
      <c r="E25" s="99"/>
      <c r="F25" s="166"/>
      <c r="G25" s="166"/>
      <c r="H25" s="91">
        <f t="shared" si="1"/>
        <v>0</v>
      </c>
      <c r="I25" s="163">
        <f t="shared" si="2"/>
        <v>0</v>
      </c>
    </row>
    <row r="26" spans="2:9" x14ac:dyDescent="0.25">
      <c r="B26" s="164"/>
      <c r="C26" s="165"/>
      <c r="D26" s="166"/>
      <c r="E26" s="99"/>
      <c r="F26" s="166"/>
      <c r="G26" s="166"/>
      <c r="H26" s="91">
        <f t="shared" si="1"/>
        <v>0</v>
      </c>
      <c r="I26" s="163">
        <f t="shared" si="2"/>
        <v>0</v>
      </c>
    </row>
    <row r="27" spans="2:9" x14ac:dyDescent="0.25">
      <c r="B27" s="164"/>
      <c r="C27" s="165"/>
      <c r="D27" s="166"/>
      <c r="E27" s="99"/>
      <c r="F27" s="166"/>
      <c r="G27" s="166"/>
      <c r="H27" s="91">
        <f t="shared" si="1"/>
        <v>0</v>
      </c>
      <c r="I27" s="163">
        <f t="shared" si="2"/>
        <v>0</v>
      </c>
    </row>
    <row r="28" spans="2:9" x14ac:dyDescent="0.25">
      <c r="B28" s="164"/>
      <c r="C28" s="165"/>
      <c r="D28" s="166"/>
      <c r="E28" s="99"/>
      <c r="F28" s="166"/>
      <c r="G28" s="166"/>
      <c r="H28" s="91">
        <f t="shared" si="1"/>
        <v>0</v>
      </c>
      <c r="I28" s="163">
        <f t="shared" si="2"/>
        <v>0</v>
      </c>
    </row>
    <row r="29" spans="2:9" x14ac:dyDescent="0.25">
      <c r="B29" s="164"/>
      <c r="C29" s="165"/>
      <c r="D29" s="166"/>
      <c r="E29" s="99"/>
      <c r="F29" s="166"/>
      <c r="G29" s="166"/>
      <c r="H29" s="91">
        <f t="shared" si="1"/>
        <v>0</v>
      </c>
      <c r="I29" s="163">
        <f t="shared" si="2"/>
        <v>0</v>
      </c>
    </row>
    <row r="30" spans="2:9" x14ac:dyDescent="0.25">
      <c r="B30" s="164"/>
      <c r="C30" s="165"/>
      <c r="D30" s="166"/>
      <c r="E30" s="99"/>
      <c r="F30" s="166"/>
      <c r="G30" s="166"/>
      <c r="H30" s="91">
        <f t="shared" si="1"/>
        <v>0</v>
      </c>
      <c r="I30" s="163">
        <f t="shared" si="2"/>
        <v>0</v>
      </c>
    </row>
    <row r="31" spans="2:9" x14ac:dyDescent="0.25">
      <c r="B31" s="164"/>
      <c r="C31" s="165"/>
      <c r="D31" s="166"/>
      <c r="E31" s="99"/>
      <c r="F31" s="166"/>
      <c r="G31" s="166"/>
      <c r="H31" s="91">
        <f t="shared" si="1"/>
        <v>0</v>
      </c>
      <c r="I31" s="163">
        <f t="shared" si="2"/>
        <v>0</v>
      </c>
    </row>
    <row r="32" spans="2:9" x14ac:dyDescent="0.25">
      <c r="B32" s="164"/>
      <c r="C32" s="165"/>
      <c r="D32" s="166"/>
      <c r="E32" s="99"/>
      <c r="F32" s="166"/>
      <c r="G32" s="166"/>
      <c r="H32" s="91">
        <f t="shared" si="1"/>
        <v>0</v>
      </c>
      <c r="I32" s="163">
        <f t="shared" si="2"/>
        <v>0</v>
      </c>
    </row>
    <row r="33" spans="2:9" x14ac:dyDescent="0.25">
      <c r="B33" s="164"/>
      <c r="C33" s="165"/>
      <c r="D33" s="166"/>
      <c r="E33" s="99"/>
      <c r="F33" s="166"/>
      <c r="G33" s="166"/>
      <c r="H33" s="91">
        <f t="shared" si="1"/>
        <v>0</v>
      </c>
      <c r="I33" s="163">
        <f t="shared" si="2"/>
        <v>0</v>
      </c>
    </row>
    <row r="34" spans="2:9" x14ac:dyDescent="0.25">
      <c r="B34" s="164"/>
      <c r="C34" s="165"/>
      <c r="D34" s="166"/>
      <c r="E34" s="99"/>
      <c r="F34" s="166"/>
      <c r="G34" s="166"/>
      <c r="H34" s="91">
        <f t="shared" si="1"/>
        <v>0</v>
      </c>
      <c r="I34" s="163">
        <f t="shared" si="2"/>
        <v>0</v>
      </c>
    </row>
    <row r="35" spans="2:9" x14ac:dyDescent="0.25">
      <c r="B35" s="164"/>
      <c r="C35" s="165"/>
      <c r="D35" s="166"/>
      <c r="E35" s="99"/>
      <c r="F35" s="166"/>
      <c r="G35" s="166"/>
      <c r="H35" s="91">
        <f t="shared" si="1"/>
        <v>0</v>
      </c>
      <c r="I35" s="163">
        <f t="shared" si="2"/>
        <v>0</v>
      </c>
    </row>
    <row r="36" spans="2:9" x14ac:dyDescent="0.25">
      <c r="B36" s="164"/>
      <c r="C36" s="165"/>
      <c r="D36" s="166"/>
      <c r="E36" s="99"/>
      <c r="F36" s="166"/>
      <c r="G36" s="166"/>
      <c r="H36" s="91">
        <f t="shared" si="1"/>
        <v>0</v>
      </c>
      <c r="I36" s="163">
        <f t="shared" si="2"/>
        <v>0</v>
      </c>
    </row>
    <row r="37" spans="2:9" x14ac:dyDescent="0.25">
      <c r="B37" s="164"/>
      <c r="C37" s="165"/>
      <c r="D37" s="166"/>
      <c r="E37" s="99"/>
      <c r="F37" s="166"/>
      <c r="G37" s="166"/>
      <c r="H37" s="91">
        <f t="shared" si="1"/>
        <v>0</v>
      </c>
      <c r="I37" s="163">
        <f t="shared" si="2"/>
        <v>0</v>
      </c>
    </row>
    <row r="38" spans="2:9" x14ac:dyDescent="0.25">
      <c r="B38" s="164"/>
      <c r="C38" s="165"/>
      <c r="D38" s="166"/>
      <c r="E38" s="99"/>
      <c r="F38" s="166"/>
      <c r="G38" s="166"/>
      <c r="H38" s="91">
        <f t="shared" si="1"/>
        <v>0</v>
      </c>
      <c r="I38" s="163">
        <f t="shared" si="2"/>
        <v>0</v>
      </c>
    </row>
    <row r="39" spans="2:9" x14ac:dyDescent="0.25">
      <c r="B39" s="164"/>
      <c r="C39" s="165"/>
      <c r="D39" s="166"/>
      <c r="E39" s="99"/>
      <c r="F39" s="166"/>
      <c r="G39" s="166"/>
      <c r="H39" s="91">
        <f t="shared" si="1"/>
        <v>0</v>
      </c>
      <c r="I39" s="163">
        <f t="shared" si="2"/>
        <v>0</v>
      </c>
    </row>
    <row r="40" spans="2:9" x14ac:dyDescent="0.25">
      <c r="B40" s="164"/>
      <c r="C40" s="165"/>
      <c r="D40" s="166"/>
      <c r="E40" s="99"/>
      <c r="F40" s="166"/>
      <c r="G40" s="166"/>
      <c r="H40" s="91">
        <f t="shared" si="1"/>
        <v>0</v>
      </c>
      <c r="I40" s="163">
        <f t="shared" si="2"/>
        <v>0</v>
      </c>
    </row>
    <row r="41" spans="2:9" x14ac:dyDescent="0.25">
      <c r="B41" s="164"/>
      <c r="C41" s="165"/>
      <c r="D41" s="166"/>
      <c r="E41" s="99"/>
      <c r="F41" s="166"/>
      <c r="G41" s="166"/>
      <c r="H41" s="91">
        <f t="shared" si="1"/>
        <v>0</v>
      </c>
      <c r="I41" s="163">
        <f t="shared" si="2"/>
        <v>0</v>
      </c>
    </row>
    <row r="42" spans="2:9" x14ac:dyDescent="0.25">
      <c r="B42" s="164"/>
      <c r="C42" s="165"/>
      <c r="D42" s="166"/>
      <c r="E42" s="99"/>
      <c r="F42" s="166"/>
      <c r="G42" s="166"/>
      <c r="H42" s="91">
        <f t="shared" si="1"/>
        <v>0</v>
      </c>
      <c r="I42" s="163">
        <f t="shared" si="2"/>
        <v>0</v>
      </c>
    </row>
    <row r="43" spans="2:9" x14ac:dyDescent="0.25">
      <c r="B43" s="164"/>
      <c r="C43" s="165"/>
      <c r="D43" s="166"/>
      <c r="E43" s="99"/>
      <c r="F43" s="166"/>
      <c r="G43" s="166"/>
      <c r="H43" s="91">
        <f t="shared" si="1"/>
        <v>0</v>
      </c>
      <c r="I43" s="163">
        <f t="shared" si="2"/>
        <v>0</v>
      </c>
    </row>
    <row r="44" spans="2:9" x14ac:dyDescent="0.25">
      <c r="B44" s="164"/>
      <c r="C44" s="165"/>
      <c r="D44" s="166"/>
      <c r="E44" s="99"/>
      <c r="F44" s="166"/>
      <c r="G44" s="166"/>
      <c r="H44" s="91">
        <f t="shared" si="1"/>
        <v>0</v>
      </c>
      <c r="I44" s="163">
        <f t="shared" si="2"/>
        <v>0</v>
      </c>
    </row>
    <row r="45" spans="2:9" x14ac:dyDescent="0.25">
      <c r="B45" s="164"/>
      <c r="C45" s="165"/>
      <c r="D45" s="166"/>
      <c r="E45" s="99"/>
      <c r="F45" s="166"/>
      <c r="G45" s="166"/>
      <c r="H45" s="91">
        <f t="shared" si="1"/>
        <v>0</v>
      </c>
      <c r="I45" s="163">
        <f t="shared" si="2"/>
        <v>0</v>
      </c>
    </row>
    <row r="46" spans="2:9" x14ac:dyDescent="0.25">
      <c r="B46" s="164"/>
      <c r="C46" s="165"/>
      <c r="D46" s="166"/>
      <c r="E46" s="99"/>
      <c r="F46" s="166"/>
      <c r="G46" s="166"/>
      <c r="H46" s="91">
        <f t="shared" si="1"/>
        <v>0</v>
      </c>
      <c r="I46" s="163">
        <f t="shared" si="2"/>
        <v>0</v>
      </c>
    </row>
    <row r="47" spans="2:9" x14ac:dyDescent="0.25">
      <c r="B47" s="164"/>
      <c r="C47" s="165"/>
      <c r="D47" s="166"/>
      <c r="E47" s="99"/>
      <c r="F47" s="166"/>
      <c r="G47" s="166"/>
      <c r="H47" s="91">
        <f t="shared" si="1"/>
        <v>0</v>
      </c>
      <c r="I47" s="163">
        <f t="shared" si="2"/>
        <v>0</v>
      </c>
    </row>
    <row r="48" spans="2:9" x14ac:dyDescent="0.25">
      <c r="B48" s="164"/>
      <c r="C48" s="165"/>
      <c r="D48" s="166"/>
      <c r="E48" s="99"/>
      <c r="F48" s="166"/>
      <c r="G48" s="166"/>
      <c r="H48" s="91">
        <f t="shared" si="1"/>
        <v>0</v>
      </c>
      <c r="I48" s="163">
        <f t="shared" si="2"/>
        <v>0</v>
      </c>
    </row>
    <row r="49" spans="2:9" x14ac:dyDescent="0.25">
      <c r="B49" s="164"/>
      <c r="C49" s="165"/>
      <c r="D49" s="166"/>
      <c r="E49" s="99"/>
      <c r="F49" s="166"/>
      <c r="G49" s="166"/>
      <c r="H49" s="91">
        <f t="shared" si="1"/>
        <v>0</v>
      </c>
      <c r="I49" s="163">
        <f t="shared" si="2"/>
        <v>0</v>
      </c>
    </row>
    <row r="50" spans="2:9" x14ac:dyDescent="0.25">
      <c r="B50" s="164"/>
      <c r="C50" s="165"/>
      <c r="D50" s="166"/>
      <c r="E50" s="99"/>
      <c r="F50" s="166"/>
      <c r="G50" s="166"/>
      <c r="H50" s="91">
        <f t="shared" si="1"/>
        <v>0</v>
      </c>
      <c r="I50" s="163">
        <f t="shared" si="2"/>
        <v>0</v>
      </c>
    </row>
    <row r="51" spans="2:9" x14ac:dyDescent="0.25">
      <c r="B51" s="164"/>
      <c r="C51" s="165"/>
      <c r="D51" s="166"/>
      <c r="E51" s="99"/>
      <c r="F51" s="166"/>
      <c r="G51" s="166"/>
      <c r="H51" s="91">
        <f t="shared" si="1"/>
        <v>0</v>
      </c>
      <c r="I51" s="163">
        <f t="shared" si="2"/>
        <v>0</v>
      </c>
    </row>
    <row r="52" spans="2:9" x14ac:dyDescent="0.25">
      <c r="B52" s="164"/>
      <c r="C52" s="165"/>
      <c r="D52" s="166"/>
      <c r="E52" s="99"/>
      <c r="F52" s="166"/>
      <c r="G52" s="166"/>
      <c r="H52" s="91">
        <f t="shared" si="1"/>
        <v>0</v>
      </c>
      <c r="I52" s="163">
        <f t="shared" si="2"/>
        <v>0</v>
      </c>
    </row>
    <row r="53" spans="2:9" x14ac:dyDescent="0.25">
      <c r="B53" s="164"/>
      <c r="C53" s="165"/>
      <c r="D53" s="166"/>
      <c r="E53" s="99"/>
      <c r="F53" s="166"/>
      <c r="G53" s="166"/>
      <c r="H53" s="91">
        <f t="shared" si="1"/>
        <v>0</v>
      </c>
      <c r="I53" s="163">
        <f t="shared" si="2"/>
        <v>0</v>
      </c>
    </row>
    <row r="54" spans="2:9" x14ac:dyDescent="0.25">
      <c r="B54" s="164"/>
      <c r="C54" s="165"/>
      <c r="D54" s="166"/>
      <c r="E54" s="99"/>
      <c r="F54" s="166"/>
      <c r="G54" s="166"/>
      <c r="H54" s="91">
        <f t="shared" si="1"/>
        <v>0</v>
      </c>
      <c r="I54" s="163">
        <f t="shared" si="2"/>
        <v>0</v>
      </c>
    </row>
    <row r="55" spans="2:9" x14ac:dyDescent="0.25">
      <c r="B55" s="164"/>
      <c r="C55" s="165"/>
      <c r="D55" s="166"/>
      <c r="E55" s="99"/>
      <c r="F55" s="166"/>
      <c r="G55" s="166"/>
      <c r="H55" s="91">
        <f t="shared" si="1"/>
        <v>0</v>
      </c>
      <c r="I55" s="163">
        <f t="shared" si="2"/>
        <v>0</v>
      </c>
    </row>
    <row r="56" spans="2:9" x14ac:dyDescent="0.25">
      <c r="B56" s="164"/>
      <c r="C56" s="165"/>
      <c r="D56" s="166"/>
      <c r="E56" s="99"/>
      <c r="F56" s="166"/>
      <c r="G56" s="166"/>
      <c r="H56" s="91">
        <f t="shared" si="1"/>
        <v>0</v>
      </c>
      <c r="I56" s="163">
        <f t="shared" si="2"/>
        <v>0</v>
      </c>
    </row>
    <row r="57" spans="2:9" x14ac:dyDescent="0.25">
      <c r="B57" s="164"/>
      <c r="C57" s="165"/>
      <c r="D57" s="166"/>
      <c r="E57" s="99"/>
      <c r="F57" s="166"/>
      <c r="G57" s="166"/>
      <c r="H57" s="91">
        <f t="shared" si="1"/>
        <v>0</v>
      </c>
      <c r="I57" s="163">
        <f t="shared" si="2"/>
        <v>0</v>
      </c>
    </row>
    <row r="58" spans="2:9" x14ac:dyDescent="0.25">
      <c r="B58" s="164"/>
      <c r="C58" s="165"/>
      <c r="D58" s="166"/>
      <c r="E58" s="99"/>
      <c r="F58" s="166"/>
      <c r="G58" s="166"/>
      <c r="H58" s="91">
        <f t="shared" si="1"/>
        <v>0</v>
      </c>
      <c r="I58" s="163">
        <f t="shared" si="2"/>
        <v>0</v>
      </c>
    </row>
    <row r="59" spans="2:9" x14ac:dyDescent="0.25">
      <c r="B59" s="164"/>
      <c r="C59" s="165"/>
      <c r="D59" s="166"/>
      <c r="E59" s="99"/>
      <c r="F59" s="166"/>
      <c r="G59" s="166"/>
      <c r="H59" s="91">
        <f t="shared" si="1"/>
        <v>0</v>
      </c>
      <c r="I59" s="163">
        <f t="shared" si="2"/>
        <v>0</v>
      </c>
    </row>
    <row r="60" spans="2:9" x14ac:dyDescent="0.25">
      <c r="B60" s="164"/>
      <c r="C60" s="165"/>
      <c r="D60" s="166"/>
      <c r="E60" s="99"/>
      <c r="F60" s="166"/>
      <c r="G60" s="166"/>
      <c r="H60" s="91">
        <f t="shared" si="1"/>
        <v>0</v>
      </c>
      <c r="I60" s="163">
        <f t="shared" si="2"/>
        <v>0</v>
      </c>
    </row>
    <row r="61" spans="2:9" x14ac:dyDescent="0.25">
      <c r="B61" s="164"/>
      <c r="C61" s="165"/>
      <c r="D61" s="166"/>
      <c r="E61" s="99"/>
      <c r="F61" s="166"/>
      <c r="G61" s="166"/>
      <c r="H61" s="91">
        <f t="shared" si="1"/>
        <v>0</v>
      </c>
      <c r="I61" s="163">
        <f t="shared" si="2"/>
        <v>0</v>
      </c>
    </row>
    <row r="62" spans="2:9" x14ac:dyDescent="0.25">
      <c r="B62" s="164"/>
      <c r="C62" s="165"/>
      <c r="D62" s="166"/>
      <c r="E62" s="99"/>
      <c r="F62" s="166"/>
      <c r="G62" s="166"/>
      <c r="H62" s="91">
        <f t="shared" si="1"/>
        <v>0</v>
      </c>
      <c r="I62" s="163">
        <f t="shared" si="2"/>
        <v>0</v>
      </c>
    </row>
    <row r="63" spans="2:9" x14ac:dyDescent="0.25">
      <c r="B63" s="164"/>
      <c r="C63" s="165"/>
      <c r="D63" s="166"/>
      <c r="E63" s="99"/>
      <c r="F63" s="166"/>
      <c r="G63" s="166"/>
      <c r="H63" s="91">
        <f t="shared" si="1"/>
        <v>0</v>
      </c>
      <c r="I63" s="163">
        <f t="shared" si="2"/>
        <v>0</v>
      </c>
    </row>
    <row r="64" spans="2:9" x14ac:dyDescent="0.25">
      <c r="B64" s="164"/>
      <c r="C64" s="165"/>
      <c r="D64" s="166"/>
      <c r="E64" s="99"/>
      <c r="F64" s="166"/>
      <c r="G64" s="166"/>
      <c r="H64" s="91">
        <f t="shared" si="1"/>
        <v>0</v>
      </c>
      <c r="I64" s="163">
        <f t="shared" si="2"/>
        <v>0</v>
      </c>
    </row>
    <row r="65" spans="2:9" x14ac:dyDescent="0.25">
      <c r="B65" s="164"/>
      <c r="C65" s="165"/>
      <c r="D65" s="166"/>
      <c r="E65" s="99"/>
      <c r="F65" s="166"/>
      <c r="G65" s="166"/>
      <c r="H65" s="91">
        <f t="shared" si="1"/>
        <v>0</v>
      </c>
      <c r="I65" s="163">
        <f t="shared" si="2"/>
        <v>0</v>
      </c>
    </row>
    <row r="66" spans="2:9" x14ac:dyDescent="0.25">
      <c r="B66" s="164"/>
      <c r="C66" s="165"/>
      <c r="D66" s="166"/>
      <c r="E66" s="99"/>
      <c r="F66" s="166"/>
      <c r="G66" s="166"/>
      <c r="H66" s="91">
        <f t="shared" si="1"/>
        <v>0</v>
      </c>
      <c r="I66" s="163">
        <f t="shared" si="2"/>
        <v>0</v>
      </c>
    </row>
    <row r="67" spans="2:9" x14ac:dyDescent="0.25">
      <c r="B67" s="164"/>
      <c r="C67" s="165"/>
      <c r="D67" s="166"/>
      <c r="E67" s="99"/>
      <c r="F67" s="166"/>
      <c r="G67" s="166"/>
      <c r="H67" s="91">
        <f t="shared" si="1"/>
        <v>0</v>
      </c>
      <c r="I67" s="163">
        <f t="shared" si="2"/>
        <v>0</v>
      </c>
    </row>
    <row r="68" spans="2:9" x14ac:dyDescent="0.25">
      <c r="B68" s="164"/>
      <c r="C68" s="165"/>
      <c r="D68" s="166"/>
      <c r="E68" s="99"/>
      <c r="F68" s="166"/>
      <c r="G68" s="166"/>
      <c r="H68" s="91">
        <f t="shared" si="1"/>
        <v>0</v>
      </c>
      <c r="I68" s="163">
        <f t="shared" si="2"/>
        <v>0</v>
      </c>
    </row>
    <row r="69" spans="2:9" x14ac:dyDescent="0.25">
      <c r="B69" s="164"/>
      <c r="C69" s="165"/>
      <c r="D69" s="166"/>
      <c r="E69" s="99"/>
      <c r="F69" s="166"/>
      <c r="G69" s="166"/>
      <c r="H69" s="91">
        <f t="shared" si="1"/>
        <v>0</v>
      </c>
      <c r="I69" s="163">
        <f t="shared" si="2"/>
        <v>0</v>
      </c>
    </row>
    <row r="70" spans="2:9" x14ac:dyDescent="0.25">
      <c r="B70" s="164"/>
      <c r="C70" s="165"/>
      <c r="D70" s="166"/>
      <c r="E70" s="99"/>
      <c r="F70" s="166"/>
      <c r="G70" s="166"/>
      <c r="H70" s="91">
        <f t="shared" si="1"/>
        <v>0</v>
      </c>
      <c r="I70" s="163">
        <f t="shared" si="2"/>
        <v>0</v>
      </c>
    </row>
    <row r="71" spans="2:9" x14ac:dyDescent="0.25">
      <c r="B71" s="164"/>
      <c r="C71" s="165"/>
      <c r="D71" s="166"/>
      <c r="E71" s="99"/>
      <c r="F71" s="166"/>
      <c r="G71" s="166"/>
      <c r="H71" s="91">
        <f t="shared" si="1"/>
        <v>0</v>
      </c>
      <c r="I71" s="163">
        <f t="shared" si="2"/>
        <v>0</v>
      </c>
    </row>
    <row r="72" spans="2:9" x14ac:dyDescent="0.25">
      <c r="B72" s="164"/>
      <c r="C72" s="165"/>
      <c r="D72" s="166"/>
      <c r="E72" s="99"/>
      <c r="F72" s="166"/>
      <c r="G72" s="166"/>
      <c r="H72" s="91">
        <f t="shared" si="1"/>
        <v>0</v>
      </c>
      <c r="I72" s="163">
        <f t="shared" si="2"/>
        <v>0</v>
      </c>
    </row>
    <row r="73" spans="2:9" x14ac:dyDescent="0.25">
      <c r="B73" s="164"/>
      <c r="C73" s="165"/>
      <c r="D73" s="166"/>
      <c r="E73" s="99"/>
      <c r="F73" s="166"/>
      <c r="G73" s="166"/>
      <c r="H73" s="91">
        <f t="shared" si="1"/>
        <v>0</v>
      </c>
      <c r="I73" s="163">
        <f t="shared" si="2"/>
        <v>0</v>
      </c>
    </row>
    <row r="74" spans="2:9" x14ac:dyDescent="0.25">
      <c r="B74" s="164"/>
      <c r="C74" s="165"/>
      <c r="D74" s="166"/>
      <c r="E74" s="99"/>
      <c r="F74" s="166"/>
      <c r="G74" s="166"/>
      <c r="H74" s="91">
        <f t="shared" si="1"/>
        <v>0</v>
      </c>
      <c r="I74" s="163">
        <f t="shared" si="2"/>
        <v>0</v>
      </c>
    </row>
    <row r="75" spans="2:9" x14ac:dyDescent="0.25">
      <c r="B75" s="164"/>
      <c r="C75" s="165"/>
      <c r="D75" s="166"/>
      <c r="E75" s="99"/>
      <c r="F75" s="166"/>
      <c r="G75" s="166"/>
      <c r="H75" s="91">
        <f t="shared" si="1"/>
        <v>0</v>
      </c>
      <c r="I75" s="163">
        <f t="shared" si="2"/>
        <v>0</v>
      </c>
    </row>
    <row r="76" spans="2:9" x14ac:dyDescent="0.25">
      <c r="B76" s="164"/>
      <c r="C76" s="165"/>
      <c r="D76" s="166"/>
      <c r="E76" s="99"/>
      <c r="F76" s="166"/>
      <c r="G76" s="166"/>
      <c r="H76" s="91">
        <f t="shared" si="1"/>
        <v>0</v>
      </c>
      <c r="I76" s="163">
        <f t="shared" si="2"/>
        <v>0</v>
      </c>
    </row>
    <row r="77" spans="2:9" x14ac:dyDescent="0.25">
      <c r="B77" s="164"/>
      <c r="C77" s="165"/>
      <c r="D77" s="166"/>
      <c r="E77" s="99"/>
      <c r="F77" s="166"/>
      <c r="G77" s="166"/>
      <c r="H77" s="91">
        <f t="shared" ref="H77:H112" si="3">ROUND(IFERROR(E77*G77/F77,0),2)</f>
        <v>0</v>
      </c>
      <c r="I77" s="163">
        <f t="shared" ref="I77:I112" si="4">IFERROR(G77/D77,0)</f>
        <v>0</v>
      </c>
    </row>
    <row r="78" spans="2:9" x14ac:dyDescent="0.25">
      <c r="B78" s="164"/>
      <c r="C78" s="165"/>
      <c r="D78" s="166"/>
      <c r="E78" s="99"/>
      <c r="F78" s="166"/>
      <c r="G78" s="166"/>
      <c r="H78" s="91">
        <f t="shared" si="3"/>
        <v>0</v>
      </c>
      <c r="I78" s="163">
        <f t="shared" si="4"/>
        <v>0</v>
      </c>
    </row>
    <row r="79" spans="2:9" x14ac:dyDescent="0.25">
      <c r="B79" s="164"/>
      <c r="C79" s="165"/>
      <c r="D79" s="166"/>
      <c r="E79" s="99"/>
      <c r="F79" s="166"/>
      <c r="G79" s="166"/>
      <c r="H79" s="91">
        <f t="shared" si="3"/>
        <v>0</v>
      </c>
      <c r="I79" s="163">
        <f t="shared" si="4"/>
        <v>0</v>
      </c>
    </row>
    <row r="80" spans="2:9" x14ac:dyDescent="0.25">
      <c r="B80" s="164"/>
      <c r="C80" s="165"/>
      <c r="D80" s="166"/>
      <c r="E80" s="99"/>
      <c r="F80" s="166"/>
      <c r="G80" s="166"/>
      <c r="H80" s="91">
        <f t="shared" si="3"/>
        <v>0</v>
      </c>
      <c r="I80" s="163">
        <f t="shared" si="4"/>
        <v>0</v>
      </c>
    </row>
    <row r="81" spans="2:9" x14ac:dyDescent="0.25">
      <c r="B81" s="164"/>
      <c r="C81" s="165"/>
      <c r="D81" s="166"/>
      <c r="E81" s="99"/>
      <c r="F81" s="166"/>
      <c r="G81" s="166"/>
      <c r="H81" s="91">
        <f t="shared" si="3"/>
        <v>0</v>
      </c>
      <c r="I81" s="163">
        <f t="shared" si="4"/>
        <v>0</v>
      </c>
    </row>
    <row r="82" spans="2:9" x14ac:dyDescent="0.25">
      <c r="B82" s="164"/>
      <c r="C82" s="165"/>
      <c r="D82" s="166"/>
      <c r="E82" s="99"/>
      <c r="F82" s="166"/>
      <c r="G82" s="166"/>
      <c r="H82" s="91">
        <f t="shared" si="3"/>
        <v>0</v>
      </c>
      <c r="I82" s="163">
        <f t="shared" si="4"/>
        <v>0</v>
      </c>
    </row>
    <row r="83" spans="2:9" x14ac:dyDescent="0.25">
      <c r="B83" s="164"/>
      <c r="C83" s="165"/>
      <c r="D83" s="166"/>
      <c r="E83" s="99"/>
      <c r="F83" s="166"/>
      <c r="G83" s="166"/>
      <c r="H83" s="91">
        <f t="shared" si="3"/>
        <v>0</v>
      </c>
      <c r="I83" s="163">
        <f t="shared" si="4"/>
        <v>0</v>
      </c>
    </row>
    <row r="84" spans="2:9" x14ac:dyDescent="0.25">
      <c r="B84" s="164"/>
      <c r="C84" s="165"/>
      <c r="D84" s="166"/>
      <c r="E84" s="99"/>
      <c r="F84" s="166"/>
      <c r="G84" s="166"/>
      <c r="H84" s="91">
        <f t="shared" si="3"/>
        <v>0</v>
      </c>
      <c r="I84" s="163">
        <f t="shared" si="4"/>
        <v>0</v>
      </c>
    </row>
    <row r="85" spans="2:9" x14ac:dyDescent="0.25">
      <c r="B85" s="164"/>
      <c r="C85" s="165"/>
      <c r="D85" s="166"/>
      <c r="E85" s="99"/>
      <c r="F85" s="166"/>
      <c r="G85" s="166"/>
      <c r="H85" s="91">
        <f t="shared" si="3"/>
        <v>0</v>
      </c>
      <c r="I85" s="163">
        <f t="shared" si="4"/>
        <v>0</v>
      </c>
    </row>
    <row r="86" spans="2:9" x14ac:dyDescent="0.25">
      <c r="B86" s="164"/>
      <c r="C86" s="165"/>
      <c r="D86" s="166"/>
      <c r="E86" s="99"/>
      <c r="F86" s="166"/>
      <c r="G86" s="166"/>
      <c r="H86" s="91">
        <f t="shared" si="3"/>
        <v>0</v>
      </c>
      <c r="I86" s="163">
        <f t="shared" si="4"/>
        <v>0</v>
      </c>
    </row>
    <row r="87" spans="2:9" x14ac:dyDescent="0.25">
      <c r="B87" s="164"/>
      <c r="C87" s="165"/>
      <c r="D87" s="166"/>
      <c r="E87" s="99"/>
      <c r="F87" s="166"/>
      <c r="G87" s="166"/>
      <c r="H87" s="91">
        <f t="shared" si="3"/>
        <v>0</v>
      </c>
      <c r="I87" s="163">
        <f t="shared" si="4"/>
        <v>0</v>
      </c>
    </row>
    <row r="88" spans="2:9" x14ac:dyDescent="0.25">
      <c r="B88" s="164"/>
      <c r="C88" s="165"/>
      <c r="D88" s="166"/>
      <c r="E88" s="99"/>
      <c r="F88" s="166"/>
      <c r="G88" s="166"/>
      <c r="H88" s="91">
        <f t="shared" si="3"/>
        <v>0</v>
      </c>
      <c r="I88" s="163">
        <f t="shared" si="4"/>
        <v>0</v>
      </c>
    </row>
    <row r="89" spans="2:9" x14ac:dyDescent="0.25">
      <c r="B89" s="164"/>
      <c r="C89" s="165"/>
      <c r="D89" s="166"/>
      <c r="E89" s="99"/>
      <c r="F89" s="166"/>
      <c r="G89" s="166"/>
      <c r="H89" s="91">
        <f t="shared" si="3"/>
        <v>0</v>
      </c>
      <c r="I89" s="163">
        <f t="shared" si="4"/>
        <v>0</v>
      </c>
    </row>
    <row r="90" spans="2:9" x14ac:dyDescent="0.25">
      <c r="B90" s="164"/>
      <c r="C90" s="165"/>
      <c r="D90" s="166"/>
      <c r="E90" s="99"/>
      <c r="F90" s="166"/>
      <c r="G90" s="166"/>
      <c r="H90" s="91">
        <f t="shared" si="3"/>
        <v>0</v>
      </c>
      <c r="I90" s="163">
        <f t="shared" si="4"/>
        <v>0</v>
      </c>
    </row>
    <row r="91" spans="2:9" x14ac:dyDescent="0.25">
      <c r="B91" s="164"/>
      <c r="C91" s="165"/>
      <c r="D91" s="166"/>
      <c r="E91" s="99"/>
      <c r="F91" s="166"/>
      <c r="G91" s="166"/>
      <c r="H91" s="91">
        <f t="shared" si="3"/>
        <v>0</v>
      </c>
      <c r="I91" s="163">
        <f t="shared" si="4"/>
        <v>0</v>
      </c>
    </row>
    <row r="92" spans="2:9" x14ac:dyDescent="0.25">
      <c r="B92" s="164"/>
      <c r="C92" s="165"/>
      <c r="D92" s="166"/>
      <c r="E92" s="99"/>
      <c r="F92" s="166"/>
      <c r="G92" s="166"/>
      <c r="H92" s="91">
        <f t="shared" si="3"/>
        <v>0</v>
      </c>
      <c r="I92" s="163">
        <f t="shared" si="4"/>
        <v>0</v>
      </c>
    </row>
    <row r="93" spans="2:9" x14ac:dyDescent="0.25">
      <c r="B93" s="164"/>
      <c r="C93" s="165"/>
      <c r="D93" s="166"/>
      <c r="E93" s="99"/>
      <c r="F93" s="166"/>
      <c r="G93" s="166"/>
      <c r="H93" s="91">
        <f t="shared" si="3"/>
        <v>0</v>
      </c>
      <c r="I93" s="163">
        <f t="shared" si="4"/>
        <v>0</v>
      </c>
    </row>
    <row r="94" spans="2:9" x14ac:dyDescent="0.25">
      <c r="B94" s="164"/>
      <c r="C94" s="165"/>
      <c r="D94" s="166"/>
      <c r="E94" s="99"/>
      <c r="F94" s="166"/>
      <c r="G94" s="166"/>
      <c r="H94" s="91">
        <f t="shared" si="3"/>
        <v>0</v>
      </c>
      <c r="I94" s="163">
        <f t="shared" si="4"/>
        <v>0</v>
      </c>
    </row>
    <row r="95" spans="2:9" x14ac:dyDescent="0.25">
      <c r="B95" s="164"/>
      <c r="C95" s="165"/>
      <c r="D95" s="166"/>
      <c r="E95" s="99"/>
      <c r="F95" s="166"/>
      <c r="G95" s="166"/>
      <c r="H95" s="91">
        <f t="shared" si="3"/>
        <v>0</v>
      </c>
      <c r="I95" s="163">
        <f t="shared" si="4"/>
        <v>0</v>
      </c>
    </row>
    <row r="96" spans="2:9" x14ac:dyDescent="0.25">
      <c r="B96" s="164"/>
      <c r="C96" s="165"/>
      <c r="D96" s="166"/>
      <c r="E96" s="99"/>
      <c r="F96" s="166"/>
      <c r="G96" s="166"/>
      <c r="H96" s="91">
        <f t="shared" si="3"/>
        <v>0</v>
      </c>
      <c r="I96" s="163">
        <f t="shared" si="4"/>
        <v>0</v>
      </c>
    </row>
    <row r="97" spans="2:9" x14ac:dyDescent="0.25">
      <c r="B97" s="164"/>
      <c r="C97" s="165"/>
      <c r="D97" s="166"/>
      <c r="E97" s="99"/>
      <c r="F97" s="166"/>
      <c r="G97" s="166"/>
      <c r="H97" s="91">
        <f t="shared" si="3"/>
        <v>0</v>
      </c>
      <c r="I97" s="163">
        <f t="shared" si="4"/>
        <v>0</v>
      </c>
    </row>
    <row r="98" spans="2:9" x14ac:dyDescent="0.25">
      <c r="B98" s="164"/>
      <c r="C98" s="165"/>
      <c r="D98" s="166"/>
      <c r="E98" s="99"/>
      <c r="F98" s="166"/>
      <c r="G98" s="166"/>
      <c r="H98" s="91">
        <f t="shared" si="3"/>
        <v>0</v>
      </c>
      <c r="I98" s="163">
        <f t="shared" si="4"/>
        <v>0</v>
      </c>
    </row>
    <row r="99" spans="2:9" x14ac:dyDescent="0.25">
      <c r="B99" s="164"/>
      <c r="C99" s="165"/>
      <c r="D99" s="166"/>
      <c r="E99" s="99"/>
      <c r="F99" s="166"/>
      <c r="G99" s="166"/>
      <c r="H99" s="91">
        <f t="shared" si="3"/>
        <v>0</v>
      </c>
      <c r="I99" s="163">
        <f t="shared" si="4"/>
        <v>0</v>
      </c>
    </row>
    <row r="100" spans="2:9" x14ac:dyDescent="0.25">
      <c r="B100" s="164"/>
      <c r="C100" s="165"/>
      <c r="D100" s="166"/>
      <c r="E100" s="99"/>
      <c r="F100" s="166"/>
      <c r="G100" s="166"/>
      <c r="H100" s="91">
        <f t="shared" si="3"/>
        <v>0</v>
      </c>
      <c r="I100" s="163">
        <f t="shared" si="4"/>
        <v>0</v>
      </c>
    </row>
    <row r="101" spans="2:9" x14ac:dyDescent="0.25">
      <c r="B101" s="164"/>
      <c r="C101" s="165"/>
      <c r="D101" s="166"/>
      <c r="E101" s="99"/>
      <c r="F101" s="166"/>
      <c r="G101" s="166"/>
      <c r="H101" s="91">
        <f t="shared" si="3"/>
        <v>0</v>
      </c>
      <c r="I101" s="163">
        <f t="shared" si="4"/>
        <v>0</v>
      </c>
    </row>
    <row r="102" spans="2:9" x14ac:dyDescent="0.25">
      <c r="B102" s="164"/>
      <c r="C102" s="165"/>
      <c r="D102" s="166"/>
      <c r="E102" s="99"/>
      <c r="F102" s="166"/>
      <c r="G102" s="166"/>
      <c r="H102" s="91">
        <f t="shared" si="3"/>
        <v>0</v>
      </c>
      <c r="I102" s="163">
        <f t="shared" si="4"/>
        <v>0</v>
      </c>
    </row>
    <row r="103" spans="2:9" x14ac:dyDescent="0.25">
      <c r="B103" s="164"/>
      <c r="C103" s="165"/>
      <c r="D103" s="166"/>
      <c r="E103" s="99"/>
      <c r="F103" s="166"/>
      <c r="G103" s="166"/>
      <c r="H103" s="91">
        <f t="shared" si="3"/>
        <v>0</v>
      </c>
      <c r="I103" s="163">
        <f t="shared" si="4"/>
        <v>0</v>
      </c>
    </row>
    <row r="104" spans="2:9" x14ac:dyDescent="0.25">
      <c r="B104" s="164"/>
      <c r="C104" s="165"/>
      <c r="D104" s="166"/>
      <c r="E104" s="99"/>
      <c r="F104" s="166"/>
      <c r="G104" s="166"/>
      <c r="H104" s="91">
        <f t="shared" si="3"/>
        <v>0</v>
      </c>
      <c r="I104" s="163">
        <f t="shared" si="4"/>
        <v>0</v>
      </c>
    </row>
    <row r="105" spans="2:9" x14ac:dyDescent="0.25">
      <c r="B105" s="164"/>
      <c r="C105" s="165"/>
      <c r="D105" s="166"/>
      <c r="E105" s="99"/>
      <c r="F105" s="166"/>
      <c r="G105" s="166"/>
      <c r="H105" s="91">
        <f t="shared" si="3"/>
        <v>0</v>
      </c>
      <c r="I105" s="163">
        <f t="shared" si="4"/>
        <v>0</v>
      </c>
    </row>
    <row r="106" spans="2:9" x14ac:dyDescent="0.25">
      <c r="B106" s="164"/>
      <c r="C106" s="165"/>
      <c r="D106" s="166"/>
      <c r="E106" s="99"/>
      <c r="F106" s="166"/>
      <c r="G106" s="166"/>
      <c r="H106" s="91">
        <f t="shared" si="3"/>
        <v>0</v>
      </c>
      <c r="I106" s="163">
        <f t="shared" si="4"/>
        <v>0</v>
      </c>
    </row>
    <row r="107" spans="2:9" x14ac:dyDescent="0.25">
      <c r="B107" s="164"/>
      <c r="C107" s="165"/>
      <c r="D107" s="166"/>
      <c r="E107" s="99"/>
      <c r="F107" s="166"/>
      <c r="G107" s="166"/>
      <c r="H107" s="91">
        <f t="shared" si="3"/>
        <v>0</v>
      </c>
      <c r="I107" s="163">
        <f t="shared" si="4"/>
        <v>0</v>
      </c>
    </row>
    <row r="108" spans="2:9" x14ac:dyDescent="0.25">
      <c r="B108" s="164"/>
      <c r="C108" s="165"/>
      <c r="D108" s="166"/>
      <c r="E108" s="99"/>
      <c r="F108" s="166"/>
      <c r="G108" s="166"/>
      <c r="H108" s="91">
        <f t="shared" si="3"/>
        <v>0</v>
      </c>
      <c r="I108" s="163">
        <f t="shared" si="4"/>
        <v>0</v>
      </c>
    </row>
    <row r="109" spans="2:9" x14ac:dyDescent="0.25">
      <c r="B109" s="164"/>
      <c r="C109" s="165"/>
      <c r="D109" s="166"/>
      <c r="E109" s="99"/>
      <c r="F109" s="166"/>
      <c r="G109" s="166"/>
      <c r="H109" s="91">
        <f t="shared" si="3"/>
        <v>0</v>
      </c>
      <c r="I109" s="163">
        <f t="shared" si="4"/>
        <v>0</v>
      </c>
    </row>
    <row r="110" spans="2:9" x14ac:dyDescent="0.25">
      <c r="B110" s="164"/>
      <c r="C110" s="165"/>
      <c r="D110" s="166"/>
      <c r="E110" s="99"/>
      <c r="F110" s="166"/>
      <c r="G110" s="166"/>
      <c r="H110" s="91">
        <f t="shared" si="3"/>
        <v>0</v>
      </c>
      <c r="I110" s="163">
        <f t="shared" si="4"/>
        <v>0</v>
      </c>
    </row>
    <row r="111" spans="2:9" x14ac:dyDescent="0.25">
      <c r="B111" s="164"/>
      <c r="C111" s="165"/>
      <c r="D111" s="166"/>
      <c r="E111" s="99"/>
      <c r="F111" s="166"/>
      <c r="G111" s="166"/>
      <c r="H111" s="91">
        <f t="shared" si="3"/>
        <v>0</v>
      </c>
      <c r="I111" s="163">
        <f t="shared" si="4"/>
        <v>0</v>
      </c>
    </row>
    <row r="112" spans="2:9" x14ac:dyDescent="0.25">
      <c r="B112" s="164"/>
      <c r="C112" s="165"/>
      <c r="D112" s="166"/>
      <c r="E112" s="99"/>
      <c r="F112" s="166"/>
      <c r="G112" s="166"/>
      <c r="H112" s="91">
        <f t="shared" si="3"/>
        <v>0</v>
      </c>
      <c r="I112" s="163">
        <f t="shared" si="4"/>
        <v>0</v>
      </c>
    </row>
    <row r="113" x14ac:dyDescent="0.25"/>
  </sheetData>
  <sheetProtection algorithmName="SHA-512" hashValue="koeA5LWRur4nZ9dKb6vr2fgXTnK5wypC++DarWCJqNS5A/f8NcsGDtSBYNJmgqTVLhDCa0OSsyaXJyjtaVcIeA==" saltValue="cNwzJSkfw4Rkp6NwHEKRfg==" spinCount="100000" sheet="1" objects="1" scenarios="1" autoFilter="0"/>
  <autoFilter ref="B11:I112" xr:uid="{A9A1C1F2-BF1A-478E-91C0-CCDE492DEE6A}"/>
  <conditionalFormatting sqref="B12:I112">
    <cfRule type="expression" dxfId="1" priority="1">
      <formula>AND(COUNTA($B12:$G12)&gt;0,COUNTA($B12:$G12)&lt;6)</formula>
    </cfRule>
  </conditionalFormatting>
  <dataValidations count="1">
    <dataValidation type="list" allowBlank="1" showInputMessage="1" showErrorMessage="1" sqref="D12:D112" xr:uid="{8096E577-0E37-45DB-BE43-3C0840BAAA7A}">
      <formula1>$C$7:$C$8</formula1>
    </dataValidation>
  </dataValidations>
  <pageMargins left="0.25" right="0.25" top="0.5" bottom="0.5" header="0.3" footer="0.3"/>
  <pageSetup scale="9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DA72-55FD-409B-8B76-DB680E253883}">
  <sheetPr codeName="Sheet18">
    <pageSetUpPr fitToPage="1"/>
  </sheetPr>
  <dimension ref="A1:K56"/>
  <sheetViews>
    <sheetView showGridLines="0" workbookViewId="0">
      <selection activeCell="B10" sqref="B10:C10"/>
    </sheetView>
  </sheetViews>
  <sheetFormatPr defaultColWidth="0" defaultRowHeight="15" zeroHeight="1" x14ac:dyDescent="0.25"/>
  <cols>
    <col min="1" max="1" width="1.42578125" style="12" customWidth="1"/>
    <col min="2" max="2" width="15.28515625" style="12" customWidth="1"/>
    <col min="3" max="3" width="10.7109375" style="12" customWidth="1"/>
    <col min="4" max="5" width="17.140625" style="12" customWidth="1"/>
    <col min="6" max="6" width="11.42578125" style="12" customWidth="1"/>
    <col min="7" max="7" width="11.7109375" style="12" bestFit="1" customWidth="1"/>
    <col min="8" max="8" width="15.42578125" style="12" bestFit="1" customWidth="1"/>
    <col min="9" max="9" width="15.42578125" style="12" customWidth="1"/>
    <col min="10" max="10" width="31.140625" style="12" customWidth="1"/>
    <col min="11" max="11" width="1.42578125" style="12" customWidth="1"/>
    <col min="12" max="16384" width="9.140625" style="12" hidden="1"/>
  </cols>
  <sheetData>
    <row r="1" spans="2:10" ht="23.25" x14ac:dyDescent="0.35">
      <c r="B1" s="58" t="s">
        <v>142</v>
      </c>
      <c r="C1" s="59"/>
      <c r="D1" s="59"/>
      <c r="E1" s="58"/>
      <c r="F1" s="59"/>
      <c r="G1" s="59"/>
      <c r="H1" s="59"/>
      <c r="I1" s="59"/>
      <c r="J1" s="59"/>
    </row>
    <row r="2" spans="2:10" x14ac:dyDescent="0.25"/>
    <row r="3" spans="2:10" x14ac:dyDescent="0.25">
      <c r="B3" s="90" t="s">
        <v>115</v>
      </c>
      <c r="C3" s="12" t="str">
        <f>setup!C11</f>
        <v>Sample Grantee</v>
      </c>
      <c r="I3" s="181" t="s">
        <v>140</v>
      </c>
      <c r="J3" s="12" t="str">
        <f>TEXT(DATE(FFY-1,10,1),"mm/dd/yyyy")&amp;" - "&amp;TEXT(DATE(FFY+1,10,0),"mm/dd/yyyy")</f>
        <v>10/01/2019 - 09/30/2021</v>
      </c>
    </row>
    <row r="4" spans="2:10" x14ac:dyDescent="0.25">
      <c r="B4" s="90" t="s">
        <v>116</v>
      </c>
      <c r="C4" s="12" t="str">
        <f>ContractType</f>
        <v>CSGB</v>
      </c>
    </row>
    <row r="5" spans="2:10" x14ac:dyDescent="0.25"/>
    <row r="6" spans="2:10" x14ac:dyDescent="0.25">
      <c r="B6" s="182" t="s">
        <v>150</v>
      </c>
    </row>
    <row r="7" spans="2:10" ht="60" customHeight="1" x14ac:dyDescent="0.25">
      <c r="B7" s="226" t="s">
        <v>151</v>
      </c>
      <c r="C7" s="226"/>
      <c r="D7" s="226"/>
      <c r="E7" s="226"/>
      <c r="F7" s="226"/>
      <c r="G7" s="226"/>
      <c r="H7" s="226"/>
      <c r="I7" s="226"/>
      <c r="J7" s="226"/>
    </row>
    <row r="8" spans="2:10" x14ac:dyDescent="0.25"/>
    <row r="9" spans="2:10" x14ac:dyDescent="0.25">
      <c r="B9" s="225" t="s">
        <v>143</v>
      </c>
      <c r="C9" s="225"/>
      <c r="D9" s="103" t="s">
        <v>153</v>
      </c>
      <c r="E9" s="103" t="s">
        <v>152</v>
      </c>
      <c r="F9" s="103" t="s">
        <v>64</v>
      </c>
      <c r="G9" s="103" t="s">
        <v>144</v>
      </c>
      <c r="H9" s="103" t="s">
        <v>148</v>
      </c>
      <c r="I9" s="103" t="s">
        <v>145</v>
      </c>
      <c r="J9" s="102" t="s">
        <v>146</v>
      </c>
    </row>
    <row r="10" spans="2:10" x14ac:dyDescent="0.25">
      <c r="B10" s="223"/>
      <c r="C10" s="224"/>
      <c r="D10" s="165"/>
      <c r="E10" s="165"/>
      <c r="F10" s="184"/>
      <c r="G10" s="185"/>
      <c r="H10" s="99"/>
      <c r="I10" s="91">
        <f>G10*H10</f>
        <v>0</v>
      </c>
      <c r="J10" s="186"/>
    </row>
    <row r="11" spans="2:10" x14ac:dyDescent="0.25">
      <c r="B11" s="223"/>
      <c r="C11" s="224"/>
      <c r="D11" s="165"/>
      <c r="E11" s="165"/>
      <c r="F11" s="184"/>
      <c r="G11" s="185"/>
      <c r="H11" s="99"/>
      <c r="I11" s="91">
        <f t="shared" ref="I11:I32" si="0">G11*H11</f>
        <v>0</v>
      </c>
      <c r="J11" s="186"/>
    </row>
    <row r="12" spans="2:10" x14ac:dyDescent="0.25">
      <c r="B12" s="223"/>
      <c r="C12" s="224"/>
      <c r="D12" s="165"/>
      <c r="E12" s="165"/>
      <c r="F12" s="184"/>
      <c r="G12" s="185"/>
      <c r="H12" s="99"/>
      <c r="I12" s="91">
        <f t="shared" si="0"/>
        <v>0</v>
      </c>
      <c r="J12" s="186"/>
    </row>
    <row r="13" spans="2:10" x14ac:dyDescent="0.25">
      <c r="B13" s="223"/>
      <c r="C13" s="224"/>
      <c r="D13" s="165"/>
      <c r="E13" s="165"/>
      <c r="F13" s="184"/>
      <c r="G13" s="185"/>
      <c r="H13" s="99"/>
      <c r="I13" s="91">
        <f t="shared" si="0"/>
        <v>0</v>
      </c>
      <c r="J13" s="186"/>
    </row>
    <row r="14" spans="2:10" x14ac:dyDescent="0.25">
      <c r="B14" s="223"/>
      <c r="C14" s="224"/>
      <c r="D14" s="165"/>
      <c r="E14" s="165"/>
      <c r="F14" s="184"/>
      <c r="G14" s="185"/>
      <c r="H14" s="99"/>
      <c r="I14" s="91">
        <f t="shared" si="0"/>
        <v>0</v>
      </c>
      <c r="J14" s="186"/>
    </row>
    <row r="15" spans="2:10" x14ac:dyDescent="0.25">
      <c r="B15" s="223"/>
      <c r="C15" s="224"/>
      <c r="D15" s="165"/>
      <c r="E15" s="165"/>
      <c r="F15" s="184"/>
      <c r="G15" s="185"/>
      <c r="H15" s="99"/>
      <c r="I15" s="91">
        <f t="shared" si="0"/>
        <v>0</v>
      </c>
      <c r="J15" s="186"/>
    </row>
    <row r="16" spans="2:10" x14ac:dyDescent="0.25">
      <c r="B16" s="223"/>
      <c r="C16" s="224"/>
      <c r="D16" s="165"/>
      <c r="E16" s="165"/>
      <c r="F16" s="184"/>
      <c r="G16" s="185"/>
      <c r="H16" s="99"/>
      <c r="I16" s="91">
        <f t="shared" si="0"/>
        <v>0</v>
      </c>
      <c r="J16" s="186"/>
    </row>
    <row r="17" spans="2:10" x14ac:dyDescent="0.25">
      <c r="B17" s="223"/>
      <c r="C17" s="224"/>
      <c r="D17" s="165"/>
      <c r="E17" s="165"/>
      <c r="F17" s="184"/>
      <c r="G17" s="185"/>
      <c r="H17" s="99"/>
      <c r="I17" s="91">
        <f t="shared" si="0"/>
        <v>0</v>
      </c>
      <c r="J17" s="186"/>
    </row>
    <row r="18" spans="2:10" x14ac:dyDescent="0.25">
      <c r="B18" s="223"/>
      <c r="C18" s="224"/>
      <c r="D18" s="165"/>
      <c r="E18" s="165"/>
      <c r="F18" s="184"/>
      <c r="G18" s="185"/>
      <c r="H18" s="99"/>
      <c r="I18" s="91">
        <f t="shared" si="0"/>
        <v>0</v>
      </c>
      <c r="J18" s="186"/>
    </row>
    <row r="19" spans="2:10" x14ac:dyDescent="0.25">
      <c r="B19" s="223"/>
      <c r="C19" s="224"/>
      <c r="D19" s="165"/>
      <c r="E19" s="165"/>
      <c r="F19" s="184"/>
      <c r="G19" s="185"/>
      <c r="H19" s="99"/>
      <c r="I19" s="91">
        <f t="shared" si="0"/>
        <v>0</v>
      </c>
      <c r="J19" s="186"/>
    </row>
    <row r="20" spans="2:10" x14ac:dyDescent="0.25">
      <c r="B20" s="223"/>
      <c r="C20" s="224"/>
      <c r="D20" s="165"/>
      <c r="E20" s="165"/>
      <c r="F20" s="184"/>
      <c r="G20" s="185"/>
      <c r="H20" s="99"/>
      <c r="I20" s="91">
        <f t="shared" si="0"/>
        <v>0</v>
      </c>
      <c r="J20" s="186"/>
    </row>
    <row r="21" spans="2:10" x14ac:dyDescent="0.25">
      <c r="B21" s="223"/>
      <c r="C21" s="224"/>
      <c r="D21" s="165"/>
      <c r="E21" s="165"/>
      <c r="F21" s="184"/>
      <c r="G21" s="185"/>
      <c r="H21" s="99"/>
      <c r="I21" s="91">
        <f t="shared" si="0"/>
        <v>0</v>
      </c>
      <c r="J21" s="186"/>
    </row>
    <row r="22" spans="2:10" x14ac:dyDescent="0.25">
      <c r="B22" s="223"/>
      <c r="C22" s="224"/>
      <c r="D22" s="165"/>
      <c r="E22" s="165"/>
      <c r="F22" s="184"/>
      <c r="G22" s="185"/>
      <c r="H22" s="99"/>
      <c r="I22" s="91">
        <f t="shared" si="0"/>
        <v>0</v>
      </c>
      <c r="J22" s="186"/>
    </row>
    <row r="23" spans="2:10" x14ac:dyDescent="0.25">
      <c r="B23" s="223"/>
      <c r="C23" s="224"/>
      <c r="D23" s="165"/>
      <c r="E23" s="165"/>
      <c r="F23" s="184"/>
      <c r="G23" s="185"/>
      <c r="H23" s="99"/>
      <c r="I23" s="91">
        <f t="shared" si="0"/>
        <v>0</v>
      </c>
      <c r="J23" s="186"/>
    </row>
    <row r="24" spans="2:10" x14ac:dyDescent="0.25">
      <c r="B24" s="223"/>
      <c r="C24" s="224"/>
      <c r="D24" s="165"/>
      <c r="E24" s="165"/>
      <c r="F24" s="184"/>
      <c r="G24" s="185"/>
      <c r="H24" s="99"/>
      <c r="I24" s="91">
        <f t="shared" si="0"/>
        <v>0</v>
      </c>
      <c r="J24" s="186"/>
    </row>
    <row r="25" spans="2:10" x14ac:dyDescent="0.25">
      <c r="B25" s="223"/>
      <c r="C25" s="224"/>
      <c r="D25" s="165"/>
      <c r="E25" s="165"/>
      <c r="F25" s="184"/>
      <c r="G25" s="185"/>
      <c r="H25" s="99"/>
      <c r="I25" s="91">
        <f t="shared" si="0"/>
        <v>0</v>
      </c>
      <c r="J25" s="186"/>
    </row>
    <row r="26" spans="2:10" x14ac:dyDescent="0.25">
      <c r="B26" s="223"/>
      <c r="C26" s="224"/>
      <c r="D26" s="165"/>
      <c r="E26" s="165"/>
      <c r="F26" s="184"/>
      <c r="G26" s="185"/>
      <c r="H26" s="99"/>
      <c r="I26" s="91">
        <f t="shared" si="0"/>
        <v>0</v>
      </c>
      <c r="J26" s="186"/>
    </row>
    <row r="27" spans="2:10" x14ac:dyDescent="0.25">
      <c r="B27" s="223"/>
      <c r="C27" s="224"/>
      <c r="D27" s="165"/>
      <c r="E27" s="165"/>
      <c r="F27" s="184"/>
      <c r="G27" s="185"/>
      <c r="H27" s="99"/>
      <c r="I27" s="91">
        <f t="shared" si="0"/>
        <v>0</v>
      </c>
      <c r="J27" s="186"/>
    </row>
    <row r="28" spans="2:10" x14ac:dyDescent="0.25">
      <c r="B28" s="223"/>
      <c r="C28" s="224"/>
      <c r="D28" s="165"/>
      <c r="E28" s="165"/>
      <c r="F28" s="184"/>
      <c r="G28" s="185"/>
      <c r="H28" s="99"/>
      <c r="I28" s="91">
        <f t="shared" si="0"/>
        <v>0</v>
      </c>
      <c r="J28" s="186"/>
    </row>
    <row r="29" spans="2:10" x14ac:dyDescent="0.25">
      <c r="B29" s="223"/>
      <c r="C29" s="224"/>
      <c r="D29" s="165"/>
      <c r="E29" s="165"/>
      <c r="F29" s="184"/>
      <c r="G29" s="185"/>
      <c r="H29" s="99"/>
      <c r="I29" s="91">
        <f t="shared" si="0"/>
        <v>0</v>
      </c>
      <c r="J29" s="186"/>
    </row>
    <row r="30" spans="2:10" x14ac:dyDescent="0.25">
      <c r="B30" s="223"/>
      <c r="C30" s="224"/>
      <c r="D30" s="165"/>
      <c r="E30" s="165"/>
      <c r="F30" s="184"/>
      <c r="G30" s="185"/>
      <c r="H30" s="99"/>
      <c r="I30" s="91">
        <f t="shared" si="0"/>
        <v>0</v>
      </c>
      <c r="J30" s="186"/>
    </row>
    <row r="31" spans="2:10" x14ac:dyDescent="0.25">
      <c r="B31" s="223"/>
      <c r="C31" s="224"/>
      <c r="D31" s="165"/>
      <c r="E31" s="165"/>
      <c r="F31" s="184"/>
      <c r="G31" s="185"/>
      <c r="H31" s="99"/>
      <c r="I31" s="91">
        <f t="shared" si="0"/>
        <v>0</v>
      </c>
      <c r="J31" s="186"/>
    </row>
    <row r="32" spans="2:10" x14ac:dyDescent="0.25">
      <c r="B32" s="223"/>
      <c r="C32" s="224"/>
      <c r="D32" s="165"/>
      <c r="E32" s="165"/>
      <c r="F32" s="184"/>
      <c r="G32" s="185"/>
      <c r="H32" s="99"/>
      <c r="I32" s="91">
        <f t="shared" si="0"/>
        <v>0</v>
      </c>
      <c r="J32" s="186"/>
    </row>
    <row r="33" spans="2:10" x14ac:dyDescent="0.25">
      <c r="B33" s="223"/>
      <c r="C33" s="224"/>
      <c r="D33" s="165"/>
      <c r="E33" s="165"/>
      <c r="F33" s="184"/>
      <c r="G33" s="185"/>
      <c r="H33" s="99"/>
      <c r="I33" s="91">
        <f t="shared" ref="I33" si="1">G33*H33</f>
        <v>0</v>
      </c>
      <c r="J33" s="186"/>
    </row>
    <row r="34" spans="2:10" ht="7.5" customHeight="1" x14ac:dyDescent="0.25">
      <c r="H34" s="97"/>
      <c r="I34" s="94"/>
    </row>
    <row r="35" spans="2:10" x14ac:dyDescent="0.25">
      <c r="H35" s="189" t="s">
        <v>154</v>
      </c>
      <c r="I35" s="190">
        <f>SUMIF(E10:E33,"In State",I10:I33)</f>
        <v>0</v>
      </c>
    </row>
    <row r="36" spans="2:10" ht="15" customHeight="1" x14ac:dyDescent="0.25">
      <c r="G36" s="191"/>
      <c r="H36" s="192" t="s">
        <v>155</v>
      </c>
      <c r="I36" s="193">
        <f>SUMIF(E10:E33,"Out of State",I10:I33)</f>
        <v>0</v>
      </c>
    </row>
    <row r="37" spans="2:10" x14ac:dyDescent="0.25">
      <c r="B37" s="183" t="s">
        <v>149</v>
      </c>
      <c r="H37" s="97" t="s">
        <v>147</v>
      </c>
      <c r="I37" s="88">
        <f>SUM(I10:I33)</f>
        <v>0</v>
      </c>
    </row>
    <row r="38" spans="2:10" ht="7.5" customHeight="1" x14ac:dyDescent="0.25"/>
    <row r="39" spans="2:10" hidden="1" x14ac:dyDescent="0.25"/>
    <row r="40" spans="2:10" hidden="1" x14ac:dyDescent="0.25"/>
    <row r="41" spans="2:10" hidden="1" x14ac:dyDescent="0.25"/>
    <row r="42" spans="2:10" hidden="1" x14ac:dyDescent="0.25"/>
    <row r="43" spans="2:10" hidden="1" x14ac:dyDescent="0.25"/>
    <row r="44" spans="2:10" hidden="1" x14ac:dyDescent="0.25"/>
    <row r="45" spans="2:10" hidden="1" x14ac:dyDescent="0.25"/>
    <row r="46" spans="2:10" hidden="1" x14ac:dyDescent="0.25"/>
    <row r="47" spans="2:10" hidden="1" x14ac:dyDescent="0.25"/>
    <row r="48" spans="2:10" hidden="1" x14ac:dyDescent="0.25"/>
    <row r="49" hidden="1" x14ac:dyDescent="0.25"/>
    <row r="50" hidden="1" x14ac:dyDescent="0.25"/>
    <row r="51" hidden="1" x14ac:dyDescent="0.25"/>
    <row r="52" hidden="1" x14ac:dyDescent="0.25"/>
    <row r="53" hidden="1" x14ac:dyDescent="0.25"/>
    <row r="54" hidden="1" x14ac:dyDescent="0.25"/>
    <row r="55" hidden="1" x14ac:dyDescent="0.25"/>
    <row r="56" x14ac:dyDescent="0.25"/>
  </sheetData>
  <sheetProtection algorithmName="SHA-512" hashValue="j6ol9sIy3lE0UUAveQKC4hkTOpYg5kHgun2q5FiuAOLKd4Tk1LOFt1mg7gOviu7HXPPHgn4mUquncF04Rc35sw==" saltValue="efMi2nwLaFzjEIRCNWZcdQ==" spinCount="100000" sheet="1" objects="1" scenarios="1" autoFilter="0"/>
  <autoFilter ref="B9:J33" xr:uid="{8A70E8F6-5902-431F-A032-A3F24C77F6E8}">
    <filterColumn colId="0" showButton="0"/>
  </autoFilter>
  <mergeCells count="26">
    <mergeCell ref="B7:J7"/>
    <mergeCell ref="B16:C16"/>
    <mergeCell ref="B17:C17"/>
    <mergeCell ref="B18:C18"/>
    <mergeCell ref="B19:C19"/>
    <mergeCell ref="B10:C10"/>
    <mergeCell ref="B11:C11"/>
    <mergeCell ref="B12:C12"/>
    <mergeCell ref="B13:C13"/>
    <mergeCell ref="B14:C14"/>
    <mergeCell ref="B30:C30"/>
    <mergeCell ref="B31:C31"/>
    <mergeCell ref="B32:C32"/>
    <mergeCell ref="B33:C33"/>
    <mergeCell ref="B9:C9"/>
    <mergeCell ref="B25:C25"/>
    <mergeCell ref="B26:C26"/>
    <mergeCell ref="B27:C27"/>
    <mergeCell ref="B28:C28"/>
    <mergeCell ref="B29:C29"/>
    <mergeCell ref="B20:C20"/>
    <mergeCell ref="B21:C21"/>
    <mergeCell ref="B22:C22"/>
    <mergeCell ref="B23:C23"/>
    <mergeCell ref="B24:C24"/>
    <mergeCell ref="B15:C15"/>
  </mergeCells>
  <conditionalFormatting sqref="B10:J33">
    <cfRule type="expression" dxfId="0" priority="1">
      <formula>AND(COUNTA($B10:$J10)&gt;1,COUNTA($B10:$J10)&lt;8)</formula>
    </cfRule>
  </conditionalFormatting>
  <dataValidations count="1">
    <dataValidation type="list" allowBlank="1" showInputMessage="1" showErrorMessage="1" sqref="E10:E33" xr:uid="{2EBFC366-4644-4EE3-A2D1-5C651F64199A}">
      <formula1>"In State,Out of State"</formula1>
    </dataValidation>
  </dataValidations>
  <pageMargins left="0.7" right="0.7" top="0.75" bottom="0.75" header="0.3" footer="0.3"/>
  <pageSetup scale="84"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77F4-5495-4FAD-B6BA-C16F66309C8A}">
  <sheetPr codeName="Sheet19"/>
  <dimension ref="A1:Q52"/>
  <sheetViews>
    <sheetView showGridLines="0" workbookViewId="0">
      <selection activeCell="E3" sqref="E3"/>
    </sheetView>
  </sheetViews>
  <sheetFormatPr defaultColWidth="0" defaultRowHeight="15" zeroHeight="1" x14ac:dyDescent="0.25"/>
  <cols>
    <col min="1" max="1" width="0.7109375" style="12" customWidth="1"/>
    <col min="2" max="2" width="15.7109375" style="12" customWidth="1"/>
    <col min="3" max="3" width="32.7109375" style="12" customWidth="1"/>
    <col min="4" max="4" width="17.7109375" style="12" customWidth="1"/>
    <col min="5" max="5" width="22.42578125" style="12" bestFit="1" customWidth="1"/>
    <col min="6" max="6" width="0.7109375" style="12" customWidth="1"/>
    <col min="7" max="7" width="31.42578125" style="12" hidden="1" customWidth="1"/>
    <col min="8" max="17" width="0" style="12" hidden="1" customWidth="1"/>
    <col min="18" max="16384" width="9.140625" style="12" hidden="1"/>
  </cols>
  <sheetData>
    <row r="1" spans="2:17" s="136" customFormat="1" ht="23.25" x14ac:dyDescent="0.35">
      <c r="B1" s="58" t="s">
        <v>139</v>
      </c>
      <c r="C1" s="58"/>
      <c r="D1" s="58"/>
      <c r="E1" s="101"/>
    </row>
    <row r="2" spans="2:17" x14ac:dyDescent="0.25"/>
    <row r="3" spans="2:17" x14ac:dyDescent="0.25">
      <c r="B3" s="90" t="s">
        <v>115</v>
      </c>
      <c r="C3" s="12" t="str">
        <f>setup!C11</f>
        <v>Sample Grantee</v>
      </c>
      <c r="D3" s="90" t="s">
        <v>140</v>
      </c>
      <c r="E3" s="12" t="str">
        <f>TEXT(DATE(FFY-1,10,1),"mm/dd/yyyy")&amp;" - "&amp;TEXT(DATE(FFY+1,10,0),"mm/dd/yyyy")</f>
        <v>10/01/2019 - 09/30/2021</v>
      </c>
    </row>
    <row r="4" spans="2:17" ht="15" customHeight="1" x14ac:dyDescent="0.25">
      <c r="B4" s="90" t="s">
        <v>116</v>
      </c>
      <c r="C4" s="131" t="str">
        <f>ContractType</f>
        <v>CSGB</v>
      </c>
      <c r="D4" s="132" t="s">
        <v>141</v>
      </c>
      <c r="E4" s="133">
        <f>InvoiceMonth</f>
        <v>43739</v>
      </c>
    </row>
    <row r="5" spans="2:17" s="134" customFormat="1" x14ac:dyDescent="0.25">
      <c r="H5" s="134" t="str">
        <f t="array" ref="H5:Q5">UPPER(INDEX(Domains,COLUMN()-7,3))</f>
        <v>EMPLOYMENT</v>
      </c>
      <c r="I5" s="134" t="str">
        <v>EDUCATION AND COGNITIVE DEVELOPMENT</v>
      </c>
      <c r="J5" s="134" t="str">
        <v>INCOME, INFRASTRUCTURE, AND ASSET BUILDING</v>
      </c>
      <c r="K5" s="134" t="str">
        <v>HOUSING</v>
      </c>
      <c r="L5" s="134" t="str">
        <v>HEALTH AND SOCIAL/DEHAVIORAL DEVELOPMENT (INCLUDING NUTRITION)</v>
      </c>
      <c r="M5" s="134" t="str">
        <v>CIVIC ENGAGEMENTS AND COMMUNITY INVOLVEMENT</v>
      </c>
      <c r="N5" s="134" t="str">
        <v>SERVICES SUPPORTING MULTIPLE DOMAINS</v>
      </c>
      <c r="O5" s="134" t="str">
        <v>LINKAGES (E.G., PARTNERSHIPS THAT SUPPORT MULTIPLE DOMAINS)</v>
      </c>
      <c r="P5" s="134" t="str">
        <v>AGENCY CAPACITY BUILDING</v>
      </c>
      <c r="Q5" s="134" t="str">
        <v>OTHER (E.G., EMERGENCY MANAGEMENT / DISASTER RELIEF)</v>
      </c>
    </row>
    <row r="6" spans="2:17" s="134" customFormat="1" x14ac:dyDescent="0.25">
      <c r="B6" s="227" t="str">
        <f>IF(H23&lt;&gt;"",H23,"")&amp;IF(I23&lt;&gt;"",I23,"")&amp;IF(J23&lt;&gt;"",J23,"")&amp;IF(K23&lt;&gt;"",K23,"")&amp;IF(L23&lt;&gt;"",L23,"")&amp;IF(M23&lt;&gt;"",M23,"")&amp;IF(N23&lt;&gt;"",N23,"")&amp;IF(O23&lt;&gt;"",O23,"")&amp;IF(P23&lt;&gt;"",P23,"")&amp;IF(Q23&lt;&gt;"",Q23,"")</f>
        <v/>
      </c>
      <c r="C6" s="228"/>
      <c r="D6" s="228"/>
      <c r="E6" s="229"/>
      <c r="G6" s="130" t="str">
        <f t="array" ref="G6:G20">UPPER(Categories)</f>
        <v>SALARIES</v>
      </c>
      <c r="H6" s="135" t="str">
        <f t="array" ref="H6:H20">IF(TRIM(EMP!$C66:C$80)&lt;&gt;"",$G6:$G20&amp;": "&amp;TRIM(EMP!$C66:$C80)&amp;CHAR(10),"")</f>
        <v/>
      </c>
      <c r="I6" s="135" t="str">
        <f t="array" ref="I6:I20">IF(TRIM('ED and CD'!$C66:D$80)&lt;&gt;"",$G6:$G20&amp;": "&amp;TRIM('ED and CD'!$C66:$C80)&amp;CHAR(10),"")</f>
        <v/>
      </c>
      <c r="J6" s="135" t="str">
        <f t="array" ref="J6:J20">IF(TRIM('II and AB'!$C66:E$80)&lt;&gt;"",$G6:$G20&amp;": "&amp;TRIM('II and AB'!$C66:$C80)&amp;CHAR(10),"")</f>
        <v/>
      </c>
      <c r="K6" s="135" t="str">
        <f t="array" ref="K6:K20">IF(TRIM(Housing!$C66:F$80)&lt;&gt;"",$G6:$G20&amp;": "&amp;TRIM(Housing!$C66:$C80)&amp;CHAR(10),"")</f>
        <v/>
      </c>
      <c r="L6" s="135" t="str">
        <f t="array" ref="L6:L20">IF(TRIM('H and S BD'!$C66:G$80)&lt;&gt;"",$G6:$G20&amp;": "&amp;TRIM('H and S BD'!$C66:$C80)&amp;CHAR(10),"")</f>
        <v/>
      </c>
      <c r="M6" s="135" t="str">
        <f t="array" ref="M6:M20">IF(TRIM('CE and CI'!$C66:H$80)&lt;&gt;"",$G6:$G20&amp;": "&amp;TRIM('CE and CI'!$C66:$C80)&amp;CHAR(10),"")</f>
        <v/>
      </c>
      <c r="N6" s="135" t="str">
        <f t="array" ref="N6:N20">IF(TRIM(SSMD!$C66:I$80)&lt;&gt;"",$G6:$G20&amp;": "&amp;TRIM(SSMD!$C66:$C80)&amp;CHAR(10),"")</f>
        <v/>
      </c>
      <c r="O6" s="135" t="str">
        <f t="array" ref="O6:O20">IF(TRIM(Linkages!$C66:J$80)&lt;&gt;"",$G6:$G20&amp;": "&amp;TRIM(Linkages!$C66:$C80)&amp;CHAR(10),"")</f>
        <v/>
      </c>
      <c r="P6" s="135" t="str">
        <f t="array" ref="P6:P20">IF(TRIM(ACB!$C66:K$80)&lt;&gt;"",$G6:$G20&amp;": "&amp;TRIM(ACB!$C66:$C80)&amp;CHAR(10),"")</f>
        <v/>
      </c>
      <c r="Q6" s="135" t="str">
        <f t="array" ref="Q6:Q20">IF(TRIM(Other!$C66:L$80)&lt;&gt;"",$G6:$G20&amp;": "&amp;TRIM(Other!$C66:$C80)&amp;CHAR(10),"")</f>
        <v/>
      </c>
    </row>
    <row r="7" spans="2:17" s="134" customFormat="1" x14ac:dyDescent="0.25">
      <c r="B7" s="230"/>
      <c r="C7" s="231"/>
      <c r="D7" s="231"/>
      <c r="E7" s="232"/>
      <c r="G7" s="130" t="str">
        <v>BENEFITS &amp; TAXES</v>
      </c>
      <c r="H7" s="135" t="str">
        <v/>
      </c>
      <c r="I7" s="135" t="str">
        <v/>
      </c>
      <c r="J7" s="135" t="str">
        <v/>
      </c>
      <c r="K7" s="135" t="str">
        <v/>
      </c>
      <c r="L7" s="135" t="str">
        <v/>
      </c>
      <c r="M7" s="135" t="str">
        <v/>
      </c>
      <c r="N7" s="135" t="str">
        <v/>
      </c>
      <c r="O7" s="135" t="str">
        <v/>
      </c>
      <c r="P7" s="135" t="str">
        <v/>
      </c>
      <c r="Q7" s="135" t="str">
        <v/>
      </c>
    </row>
    <row r="8" spans="2:17" s="134" customFormat="1" x14ac:dyDescent="0.25">
      <c r="B8" s="230"/>
      <c r="C8" s="231"/>
      <c r="D8" s="231"/>
      <c r="E8" s="232"/>
      <c r="G8" s="130" t="str">
        <v>PROFESSIONAL FEE / GRANT &amp; AWARD</v>
      </c>
      <c r="H8" s="135" t="str">
        <v/>
      </c>
      <c r="I8" s="135" t="str">
        <v/>
      </c>
      <c r="J8" s="135" t="str">
        <v/>
      </c>
      <c r="K8" s="135" t="str">
        <v/>
      </c>
      <c r="L8" s="135" t="str">
        <v/>
      </c>
      <c r="M8" s="135" t="str">
        <v/>
      </c>
      <c r="N8" s="135" t="str">
        <v/>
      </c>
      <c r="O8" s="135" t="str">
        <v/>
      </c>
      <c r="P8" s="135" t="str">
        <v/>
      </c>
      <c r="Q8" s="135" t="str">
        <v/>
      </c>
    </row>
    <row r="9" spans="2:17" s="134" customFormat="1" x14ac:dyDescent="0.25">
      <c r="B9" s="230"/>
      <c r="C9" s="231"/>
      <c r="D9" s="231"/>
      <c r="E9" s="232"/>
      <c r="G9" s="130" t="str">
        <v>SUPPLIES</v>
      </c>
      <c r="H9" s="135" t="str">
        <v/>
      </c>
      <c r="I9" s="135" t="str">
        <v/>
      </c>
      <c r="J9" s="135" t="str">
        <v/>
      </c>
      <c r="K9" s="135" t="str">
        <v/>
      </c>
      <c r="L9" s="135" t="str">
        <v/>
      </c>
      <c r="M9" s="135" t="str">
        <v/>
      </c>
      <c r="N9" s="135" t="str">
        <v/>
      </c>
      <c r="O9" s="135" t="str">
        <v/>
      </c>
      <c r="P9" s="135" t="str">
        <v/>
      </c>
      <c r="Q9" s="135" t="str">
        <v/>
      </c>
    </row>
    <row r="10" spans="2:17" s="134" customFormat="1" x14ac:dyDescent="0.25">
      <c r="B10" s="230"/>
      <c r="C10" s="231"/>
      <c r="D10" s="231"/>
      <c r="E10" s="232"/>
      <c r="G10" s="130" t="str">
        <v>TELEPHONE</v>
      </c>
      <c r="H10" s="135" t="str">
        <v/>
      </c>
      <c r="I10" s="135" t="str">
        <v/>
      </c>
      <c r="J10" s="135" t="str">
        <v/>
      </c>
      <c r="K10" s="135" t="str">
        <v/>
      </c>
      <c r="L10" s="135" t="str">
        <v/>
      </c>
      <c r="M10" s="135" t="str">
        <v/>
      </c>
      <c r="N10" s="135" t="str">
        <v/>
      </c>
      <c r="O10" s="135" t="str">
        <v/>
      </c>
      <c r="P10" s="135" t="str">
        <v/>
      </c>
      <c r="Q10" s="135" t="str">
        <v/>
      </c>
    </row>
    <row r="11" spans="2:17" s="134" customFormat="1" x14ac:dyDescent="0.25">
      <c r="B11" s="230"/>
      <c r="C11" s="231"/>
      <c r="D11" s="231"/>
      <c r="E11" s="232"/>
      <c r="G11" s="130" t="str">
        <v>POSTAGE &amp; SHIPPING</v>
      </c>
      <c r="H11" s="135" t="str">
        <v/>
      </c>
      <c r="I11" s="135" t="str">
        <v/>
      </c>
      <c r="J11" s="135" t="str">
        <v/>
      </c>
      <c r="K11" s="135" t="str">
        <v/>
      </c>
      <c r="L11" s="135" t="str">
        <v/>
      </c>
      <c r="M11" s="135" t="str">
        <v/>
      </c>
      <c r="N11" s="135" t="str">
        <v/>
      </c>
      <c r="O11" s="135" t="str">
        <v/>
      </c>
      <c r="P11" s="135" t="str">
        <v/>
      </c>
      <c r="Q11" s="135" t="str">
        <v/>
      </c>
    </row>
    <row r="12" spans="2:17" s="134" customFormat="1" x14ac:dyDescent="0.25">
      <c r="B12" s="230"/>
      <c r="C12" s="231"/>
      <c r="D12" s="231"/>
      <c r="E12" s="232"/>
      <c r="G12" s="130" t="str">
        <v>OCCUPANCY</v>
      </c>
      <c r="H12" s="135" t="str">
        <v/>
      </c>
      <c r="I12" s="135" t="str">
        <v/>
      </c>
      <c r="J12" s="135" t="str">
        <v/>
      </c>
      <c r="K12" s="135" t="str">
        <v/>
      </c>
      <c r="L12" s="135" t="str">
        <v/>
      </c>
      <c r="M12" s="135" t="str">
        <v/>
      </c>
      <c r="N12" s="135" t="str">
        <v/>
      </c>
      <c r="O12" s="135" t="str">
        <v/>
      </c>
      <c r="P12" s="135" t="str">
        <v/>
      </c>
      <c r="Q12" s="135" t="str">
        <v/>
      </c>
    </row>
    <row r="13" spans="2:17" s="134" customFormat="1" x14ac:dyDescent="0.25">
      <c r="B13" s="230"/>
      <c r="C13" s="231"/>
      <c r="D13" s="231"/>
      <c r="E13" s="232"/>
      <c r="G13" s="130" t="str">
        <v>EQUIPMENT RENTAL &amp; MAINTENANCE</v>
      </c>
      <c r="H13" s="135" t="str">
        <v/>
      </c>
      <c r="I13" s="135" t="str">
        <v/>
      </c>
      <c r="J13" s="135" t="str">
        <v/>
      </c>
      <c r="K13" s="135" t="str">
        <v/>
      </c>
      <c r="L13" s="135" t="str">
        <v/>
      </c>
      <c r="M13" s="135" t="str">
        <v/>
      </c>
      <c r="N13" s="135" t="str">
        <v/>
      </c>
      <c r="O13" s="135" t="str">
        <v/>
      </c>
      <c r="P13" s="135" t="str">
        <v/>
      </c>
      <c r="Q13" s="135" t="str">
        <v/>
      </c>
    </row>
    <row r="14" spans="2:17" s="134" customFormat="1" x14ac:dyDescent="0.25">
      <c r="B14" s="230"/>
      <c r="C14" s="231"/>
      <c r="D14" s="231"/>
      <c r="E14" s="232"/>
      <c r="G14" s="130" t="str">
        <v>PRINTING &amp; PUBLICATIONS</v>
      </c>
      <c r="H14" s="135" t="str">
        <v/>
      </c>
      <c r="I14" s="135" t="str">
        <v/>
      </c>
      <c r="J14" s="135" t="str">
        <v/>
      </c>
      <c r="K14" s="135" t="str">
        <v/>
      </c>
      <c r="L14" s="135" t="str">
        <v/>
      </c>
      <c r="M14" s="135" t="str">
        <v/>
      </c>
      <c r="N14" s="135" t="str">
        <v/>
      </c>
      <c r="O14" s="135" t="str">
        <v/>
      </c>
      <c r="P14" s="135" t="str">
        <v/>
      </c>
      <c r="Q14" s="135" t="str">
        <v/>
      </c>
    </row>
    <row r="15" spans="2:17" s="134" customFormat="1" x14ac:dyDescent="0.25">
      <c r="B15" s="230"/>
      <c r="C15" s="231"/>
      <c r="D15" s="231"/>
      <c r="E15" s="232"/>
      <c r="G15" s="130" t="str">
        <v>TRAVEL / CONFERENCES &amp; MEETINGS</v>
      </c>
      <c r="H15" s="135" t="str">
        <v/>
      </c>
      <c r="I15" s="135" t="str">
        <v/>
      </c>
      <c r="J15" s="135" t="str">
        <v/>
      </c>
      <c r="K15" s="135" t="str">
        <v/>
      </c>
      <c r="L15" s="135" t="str">
        <v/>
      </c>
      <c r="M15" s="135" t="str">
        <v/>
      </c>
      <c r="N15" s="135" t="str">
        <v/>
      </c>
      <c r="O15" s="135" t="str">
        <v/>
      </c>
      <c r="P15" s="135" t="str">
        <v/>
      </c>
      <c r="Q15" s="135" t="str">
        <v/>
      </c>
    </row>
    <row r="16" spans="2:17" s="134" customFormat="1" x14ac:dyDescent="0.25">
      <c r="B16" s="230"/>
      <c r="C16" s="231"/>
      <c r="D16" s="231"/>
      <c r="E16" s="232"/>
      <c r="G16" s="130" t="str">
        <v>INSURANCE</v>
      </c>
      <c r="H16" s="135" t="str">
        <v/>
      </c>
      <c r="I16" s="135" t="str">
        <v/>
      </c>
      <c r="J16" s="135" t="str">
        <v/>
      </c>
      <c r="K16" s="135" t="str">
        <v/>
      </c>
      <c r="L16" s="135" t="str">
        <v/>
      </c>
      <c r="M16" s="135" t="str">
        <v/>
      </c>
      <c r="N16" s="135" t="str">
        <v/>
      </c>
      <c r="O16" s="135" t="str">
        <v/>
      </c>
      <c r="P16" s="135" t="str">
        <v/>
      </c>
      <c r="Q16" s="135" t="str">
        <v/>
      </c>
    </row>
    <row r="17" spans="2:17" s="134" customFormat="1" x14ac:dyDescent="0.25">
      <c r="B17" s="230"/>
      <c r="C17" s="231"/>
      <c r="D17" s="231"/>
      <c r="E17" s="232"/>
      <c r="G17" s="130" t="str">
        <v>SPECIFIC ASSISTANCE TO INDIVIDUALS</v>
      </c>
      <c r="H17" s="135" t="str">
        <v/>
      </c>
      <c r="I17" s="135" t="str">
        <v/>
      </c>
      <c r="J17" s="135" t="str">
        <v/>
      </c>
      <c r="K17" s="135" t="str">
        <v/>
      </c>
      <c r="L17" s="135" t="str">
        <v/>
      </c>
      <c r="M17" s="135" t="str">
        <v/>
      </c>
      <c r="N17" s="135" t="str">
        <v/>
      </c>
      <c r="O17" s="135" t="str">
        <v/>
      </c>
      <c r="P17" s="135" t="str">
        <v/>
      </c>
      <c r="Q17" s="135" t="str">
        <v/>
      </c>
    </row>
    <row r="18" spans="2:17" s="134" customFormat="1" x14ac:dyDescent="0.25">
      <c r="B18" s="230"/>
      <c r="C18" s="231"/>
      <c r="D18" s="231"/>
      <c r="E18" s="232"/>
      <c r="G18" s="130" t="str">
        <v>DEPRECIATION</v>
      </c>
      <c r="H18" s="135" t="str">
        <v/>
      </c>
      <c r="I18" s="135" t="str">
        <v/>
      </c>
      <c r="J18" s="135" t="str">
        <v/>
      </c>
      <c r="K18" s="135" t="str">
        <v/>
      </c>
      <c r="L18" s="135" t="str">
        <v/>
      </c>
      <c r="M18" s="135" t="str">
        <v/>
      </c>
      <c r="N18" s="135" t="str">
        <v/>
      </c>
      <c r="O18" s="135" t="str">
        <v/>
      </c>
      <c r="P18" s="135" t="str">
        <v/>
      </c>
      <c r="Q18" s="135" t="str">
        <v/>
      </c>
    </row>
    <row r="19" spans="2:17" s="134" customFormat="1" x14ac:dyDescent="0.25">
      <c r="B19" s="230"/>
      <c r="C19" s="231"/>
      <c r="D19" s="231"/>
      <c r="E19" s="232"/>
      <c r="G19" s="130" t="str">
        <v>OTHER NON_PERSONNEL</v>
      </c>
      <c r="H19" s="135" t="str">
        <v/>
      </c>
      <c r="I19" s="135" t="str">
        <v/>
      </c>
      <c r="J19" s="135" t="str">
        <v/>
      </c>
      <c r="K19" s="135" t="str">
        <v/>
      </c>
      <c r="L19" s="135" t="str">
        <v/>
      </c>
      <c r="M19" s="135" t="str">
        <v/>
      </c>
      <c r="N19" s="135" t="str">
        <v/>
      </c>
      <c r="O19" s="135" t="str">
        <v/>
      </c>
      <c r="P19" s="135" t="str">
        <v/>
      </c>
      <c r="Q19" s="135" t="str">
        <v/>
      </c>
    </row>
    <row r="20" spans="2:17" s="134" customFormat="1" x14ac:dyDescent="0.25">
      <c r="B20" s="230"/>
      <c r="C20" s="231"/>
      <c r="D20" s="231"/>
      <c r="E20" s="232"/>
      <c r="G20" s="130" t="str">
        <v>INDIRECT COST / ADM. EXP. / M&amp;G</v>
      </c>
      <c r="H20" s="135" t="str">
        <v/>
      </c>
      <c r="I20" s="135" t="str">
        <v/>
      </c>
      <c r="J20" s="135" t="str">
        <v/>
      </c>
      <c r="K20" s="135" t="str">
        <v/>
      </c>
      <c r="L20" s="135" t="str">
        <v/>
      </c>
      <c r="M20" s="135" t="str">
        <v/>
      </c>
      <c r="N20" s="135" t="str">
        <v/>
      </c>
      <c r="O20" s="135" t="str">
        <v/>
      </c>
      <c r="P20" s="135" t="str">
        <v/>
      </c>
      <c r="Q20" s="135" t="str">
        <v/>
      </c>
    </row>
    <row r="21" spans="2:17" s="134" customFormat="1" x14ac:dyDescent="0.25">
      <c r="B21" s="230"/>
      <c r="C21" s="231"/>
      <c r="D21" s="231"/>
      <c r="E21" s="232"/>
    </row>
    <row r="22" spans="2:17" s="134" customFormat="1" x14ac:dyDescent="0.25">
      <c r="B22" s="230"/>
      <c r="C22" s="231"/>
      <c r="D22" s="231"/>
      <c r="E22" s="232"/>
      <c r="H22" s="135" t="str">
        <f>IF(H6&lt;&gt;"",H6,"")&amp;IF(H7&lt;&gt;"",H7,"")&amp;IF(H8&lt;&gt;"",H8,"")&amp;IF(H9&lt;&gt;"",H9,"")&amp;IF(H10&lt;&gt;"",H10,"")&amp;IF(H11&lt;&gt;"",H11,"")&amp;IF(H12&lt;&gt;"",H12,"")&amp;IF(H13&lt;&gt;"",H13,"")&amp;IF(H14&lt;&gt;"",H14,"")&amp;IF(H15&lt;&gt;"",H15,"")&amp;IF(H16&lt;&gt;"",H16,"")&amp;IF(H17&lt;&gt;"",H17,"")&amp;IF(H18&lt;&gt;"",H18,"")&amp;IF(H19&lt;&gt;"",H19,"")&amp;IF(H20&lt;&gt;"",H20,"")</f>
        <v/>
      </c>
      <c r="I22" s="135" t="str">
        <f t="shared" ref="I22:Q22" si="0">IF(I6&lt;&gt;"",I6,"")&amp;IF(I7&lt;&gt;"",I7,"")&amp;IF(I8&lt;&gt;"",I8,"")&amp;IF(I9&lt;&gt;"",I9,"")&amp;IF(I10&lt;&gt;"",I10,"")&amp;IF(I11&lt;&gt;"",I11,"")&amp;IF(I12&lt;&gt;"",I12,"")&amp;IF(I13&lt;&gt;"",I13,"")&amp;IF(I14&lt;&gt;"",I14,"")&amp;IF(I15&lt;&gt;"",I15,"")&amp;IF(I16&lt;&gt;"",I16,"")&amp;IF(I17&lt;&gt;"",I17,"")&amp;IF(I18&lt;&gt;"",I18,"")&amp;IF(I19&lt;&gt;"",I19,"")&amp;IF(I20&lt;&gt;"",I20,"")</f>
        <v/>
      </c>
      <c r="J22" s="135" t="str">
        <f t="shared" si="0"/>
        <v/>
      </c>
      <c r="K22" s="135" t="str">
        <f t="shared" si="0"/>
        <v/>
      </c>
      <c r="L22" s="135" t="str">
        <f t="shared" si="0"/>
        <v/>
      </c>
      <c r="M22" s="135" t="str">
        <f t="shared" si="0"/>
        <v/>
      </c>
      <c r="N22" s="135" t="str">
        <f t="shared" si="0"/>
        <v/>
      </c>
      <c r="O22" s="135" t="str">
        <f t="shared" si="0"/>
        <v/>
      </c>
      <c r="P22" s="135" t="str">
        <f t="shared" si="0"/>
        <v/>
      </c>
      <c r="Q22" s="135" t="str">
        <f t="shared" si="0"/>
        <v/>
      </c>
    </row>
    <row r="23" spans="2:17" s="134" customFormat="1" x14ac:dyDescent="0.25">
      <c r="B23" s="230"/>
      <c r="C23" s="231"/>
      <c r="D23" s="231"/>
      <c r="E23" s="232"/>
      <c r="H23" s="134" t="str">
        <f>IF(H22&lt;&gt;"","---- "&amp;H5&amp;" ----"&amp;CHAR(10)&amp;H22&amp;CHAR(10),"")</f>
        <v/>
      </c>
      <c r="I23" s="134" t="str">
        <f t="shared" ref="I23:Q23" si="1">IF(I22&lt;&gt;"","---- "&amp;I5&amp;" ----"&amp;CHAR(10)&amp;I22&amp;CHAR(10),"")</f>
        <v/>
      </c>
      <c r="J23" s="134" t="str">
        <f t="shared" si="1"/>
        <v/>
      </c>
      <c r="K23" s="134" t="str">
        <f t="shared" si="1"/>
        <v/>
      </c>
      <c r="L23" s="134" t="str">
        <f t="shared" si="1"/>
        <v/>
      </c>
      <c r="M23" s="134" t="str">
        <f t="shared" si="1"/>
        <v/>
      </c>
      <c r="N23" s="134" t="str">
        <f t="shared" si="1"/>
        <v/>
      </c>
      <c r="O23" s="134" t="str">
        <f t="shared" si="1"/>
        <v/>
      </c>
      <c r="P23" s="134" t="str">
        <f t="shared" si="1"/>
        <v/>
      </c>
      <c r="Q23" s="134" t="str">
        <f t="shared" si="1"/>
        <v/>
      </c>
    </row>
    <row r="24" spans="2:17" x14ac:dyDescent="0.25">
      <c r="B24" s="230"/>
      <c r="C24" s="231"/>
      <c r="D24" s="231"/>
      <c r="E24" s="232"/>
    </row>
    <row r="25" spans="2:17" x14ac:dyDescent="0.25">
      <c r="B25" s="230"/>
      <c r="C25" s="231"/>
      <c r="D25" s="231"/>
      <c r="E25" s="232"/>
    </row>
    <row r="26" spans="2:17" x14ac:dyDescent="0.25">
      <c r="B26" s="230"/>
      <c r="C26" s="231"/>
      <c r="D26" s="231"/>
      <c r="E26" s="232"/>
    </row>
    <row r="27" spans="2:17" x14ac:dyDescent="0.25">
      <c r="B27" s="230"/>
      <c r="C27" s="231"/>
      <c r="D27" s="231"/>
      <c r="E27" s="232"/>
    </row>
    <row r="28" spans="2:17" x14ac:dyDescent="0.25">
      <c r="B28" s="230"/>
      <c r="C28" s="231"/>
      <c r="D28" s="231"/>
      <c r="E28" s="232"/>
    </row>
    <row r="29" spans="2:17" x14ac:dyDescent="0.25">
      <c r="B29" s="230"/>
      <c r="C29" s="231"/>
      <c r="D29" s="231"/>
      <c r="E29" s="232"/>
    </row>
    <row r="30" spans="2:17" x14ac:dyDescent="0.25">
      <c r="B30" s="230"/>
      <c r="C30" s="231"/>
      <c r="D30" s="231"/>
      <c r="E30" s="232"/>
    </row>
    <row r="31" spans="2:17" x14ac:dyDescent="0.25">
      <c r="B31" s="230"/>
      <c r="C31" s="231"/>
      <c r="D31" s="231"/>
      <c r="E31" s="232"/>
    </row>
    <row r="32" spans="2:17" x14ac:dyDescent="0.25">
      <c r="B32" s="230"/>
      <c r="C32" s="231"/>
      <c r="D32" s="231"/>
      <c r="E32" s="232"/>
    </row>
    <row r="33" spans="2:5" x14ac:dyDescent="0.25">
      <c r="B33" s="230"/>
      <c r="C33" s="231"/>
      <c r="D33" s="231"/>
      <c r="E33" s="232"/>
    </row>
    <row r="34" spans="2:5" x14ac:dyDescent="0.25">
      <c r="B34" s="230"/>
      <c r="C34" s="231"/>
      <c r="D34" s="231"/>
      <c r="E34" s="232"/>
    </row>
    <row r="35" spans="2:5" x14ac:dyDescent="0.25">
      <c r="B35" s="230"/>
      <c r="C35" s="231"/>
      <c r="D35" s="231"/>
      <c r="E35" s="232"/>
    </row>
    <row r="36" spans="2:5" x14ac:dyDescent="0.25">
      <c r="B36" s="230"/>
      <c r="C36" s="231"/>
      <c r="D36" s="231"/>
      <c r="E36" s="232"/>
    </row>
    <row r="37" spans="2:5" x14ac:dyDescent="0.25">
      <c r="B37" s="230"/>
      <c r="C37" s="231"/>
      <c r="D37" s="231"/>
      <c r="E37" s="232"/>
    </row>
    <row r="38" spans="2:5" x14ac:dyDescent="0.25">
      <c r="B38" s="230"/>
      <c r="C38" s="231"/>
      <c r="D38" s="231"/>
      <c r="E38" s="232"/>
    </row>
    <row r="39" spans="2:5" x14ac:dyDescent="0.25">
      <c r="B39" s="230"/>
      <c r="C39" s="231"/>
      <c r="D39" s="231"/>
      <c r="E39" s="232"/>
    </row>
    <row r="40" spans="2:5" x14ac:dyDescent="0.25">
      <c r="B40" s="230"/>
      <c r="C40" s="231"/>
      <c r="D40" s="231"/>
      <c r="E40" s="232"/>
    </row>
    <row r="41" spans="2:5" x14ac:dyDescent="0.25">
      <c r="B41" s="230"/>
      <c r="C41" s="231"/>
      <c r="D41" s="231"/>
      <c r="E41" s="232"/>
    </row>
    <row r="42" spans="2:5" x14ac:dyDescent="0.25">
      <c r="B42" s="230"/>
      <c r="C42" s="231"/>
      <c r="D42" s="231"/>
      <c r="E42" s="232"/>
    </row>
    <row r="43" spans="2:5" x14ac:dyDescent="0.25">
      <c r="B43" s="230"/>
      <c r="C43" s="231"/>
      <c r="D43" s="231"/>
      <c r="E43" s="232"/>
    </row>
    <row r="44" spans="2:5" x14ac:dyDescent="0.25">
      <c r="B44" s="230"/>
      <c r="C44" s="231"/>
      <c r="D44" s="231"/>
      <c r="E44" s="232"/>
    </row>
    <row r="45" spans="2:5" x14ac:dyDescent="0.25">
      <c r="B45" s="233"/>
      <c r="C45" s="234"/>
      <c r="D45" s="234"/>
      <c r="E45" s="235"/>
    </row>
    <row r="46" spans="2:5" x14ac:dyDescent="0.25"/>
    <row r="47" spans="2:5" hidden="1" x14ac:dyDescent="0.25"/>
    <row r="48" spans="2:5" hidden="1" x14ac:dyDescent="0.25"/>
    <row r="49" hidden="1" x14ac:dyDescent="0.25"/>
    <row r="50" hidden="1" x14ac:dyDescent="0.25"/>
    <row r="51" hidden="1" x14ac:dyDescent="0.25"/>
    <row r="52" hidden="1" x14ac:dyDescent="0.25"/>
  </sheetData>
  <sheetProtection algorithmName="SHA-512" hashValue="UIoVzp2l7B5hLySousYLnLKIdpQF68bGDra1l7wb9ptq5oji5SxKdUs04csnZ9/vzXkW3D62rtvz60t1gSxJgw==" saltValue="Gt3GU+aRqSaooiTDRbrIsA==" spinCount="100000" sheet="1" objects="1" scenarios="1" selectLockedCells="1" selectUnlockedCells="1"/>
  <mergeCells count="1">
    <mergeCell ref="B6:E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setup</vt:lpstr>
      <vt:lpstr>Summary</vt:lpstr>
      <vt:lpstr>Invoice</vt:lpstr>
      <vt:lpstr>EMP</vt:lpstr>
      <vt:lpstr>ED and CD</vt:lpstr>
      <vt:lpstr>II and AB</vt:lpstr>
      <vt:lpstr>Housing</vt:lpstr>
      <vt:lpstr>H and S BD</vt:lpstr>
      <vt:lpstr>CE and CI</vt:lpstr>
      <vt:lpstr>SSMD</vt:lpstr>
      <vt:lpstr>Linkages</vt:lpstr>
      <vt:lpstr>ACB</vt:lpstr>
      <vt:lpstr>Other</vt:lpstr>
      <vt:lpstr>TACA</vt:lpstr>
      <vt:lpstr>Salary</vt:lpstr>
      <vt:lpstr>Travel</vt:lpstr>
      <vt:lpstr>Justification</vt:lpstr>
      <vt:lpstr>budgetCurrent</vt:lpstr>
      <vt:lpstr>budgetRollover</vt:lpstr>
      <vt:lpstr>CarryoverFinal</vt:lpstr>
      <vt:lpstr>Categories</vt:lpstr>
      <vt:lpstr>ContractType</vt:lpstr>
      <vt:lpstr>CurrentContractNumber</vt:lpstr>
      <vt:lpstr>CurrentFinal</vt:lpstr>
      <vt:lpstr>Domains</vt:lpstr>
      <vt:lpstr>EdisonID</vt:lpstr>
      <vt:lpstr>FFY</vt:lpstr>
      <vt:lpstr>luDates</vt:lpstr>
      <vt:lpstr>luMonths</vt:lpstr>
      <vt:lpstr>Travel!Print_Area</vt:lpstr>
      <vt:lpstr>Invoice!Print_Titles</vt:lpstr>
      <vt:lpstr>Salary!Print_Titles</vt:lpstr>
      <vt:lpstr>Program</vt:lpstr>
      <vt:lpstr>RolloverContractNumber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Deck</dc:creator>
  <cp:lastModifiedBy>Matt Deck</cp:lastModifiedBy>
  <cp:lastPrinted>2020-10-20T19:41:53Z</cp:lastPrinted>
  <dcterms:created xsi:type="dcterms:W3CDTF">2020-09-02T16:03:51Z</dcterms:created>
  <dcterms:modified xsi:type="dcterms:W3CDTF">2020-10-20T21:05:46Z</dcterms:modified>
</cp:coreProperties>
</file>